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defaultThemeVersion="124226"/>
  <xr:revisionPtr revIDLastSave="0" documentId="13_ncr:1_{432B4B14-6286-45E0-A279-0F2BE35DD1BC}" xr6:coauthVersionLast="47" xr6:coauthVersionMax="47" xr10:uidLastSave="{00000000-0000-0000-0000-000000000000}"/>
  <bookViews>
    <workbookView xWindow="-110" yWindow="-110" windowWidth="19420" windowHeight="10560" tabRatio="601" firstSheet="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state="hidden" r:id="rId14"/>
    <sheet name="14. Facility 3 Warehouse" sheetId="42" r:id="rId15"/>
    <sheet name="15. Facility 4 Custom Hiring" sheetId="48" state="hidden" r:id="rId16"/>
    <sheet name="16.Facility 5 Agri Input" sheetId="53" state="hidden" r:id="rId17"/>
    <sheet name="17.Facility 6 Horti Processing " sheetId="84" state="hidden" r:id="rId18"/>
  </sheets>
  <externalReferences>
    <externalReference r:id="rId19"/>
    <externalReference r:id="rId20"/>
  </externalReferences>
  <definedNames>
    <definedName name="_xlnm._FilterDatabase" localSheetId="6" hidden="1">'6.Cons Profit &amp; Loss'!$A$3:$I$49</definedName>
    <definedName name="_xlnm._FilterDatabase" localSheetId="9" hidden="1">'9. Financial indiacators'!$B$121:$I$179</definedName>
    <definedName name="_xlnm.Print_Area" localSheetId="1">'1.Project Cost and MOF'!$A$2:$G$35</definedName>
    <definedName name="_xlnm.Print_Area" localSheetId="10">'10.Grain Production details'!$A$1:$X$119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Details'!$A$1:$H$126</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Loss'!$A$1:$I$52</definedName>
    <definedName name="_xlnm.Print_Area" localSheetId="7">'7.Balance Sheet'!$A$1:$I$49</definedName>
    <definedName name="_xlnm.Print_Area" localSheetId="8">'8.Cash Flow '!$A$1:$J$37</definedName>
    <definedName name="_xlnm.Print_Area" localSheetId="9">'9. Financial indiacators'!$B$1:$M$183</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83" i="55" l="1"/>
  <c r="E175" i="72"/>
  <c r="E180" i="72"/>
  <c r="C27" i="21"/>
  <c r="C34" i="21"/>
  <c r="D45" i="29"/>
  <c r="F175" i="72"/>
  <c r="F180" i="72"/>
  <c r="D27" i="21"/>
  <c r="D34" i="21"/>
  <c r="E45" i="29"/>
  <c r="G175" i="72"/>
  <c r="G180" i="72"/>
  <c r="E27" i="21"/>
  <c r="E34" i="21"/>
  <c r="F45" i="29"/>
  <c r="H175" i="72"/>
  <c r="H180" i="72"/>
  <c r="F27" i="21"/>
  <c r="F34" i="21"/>
  <c r="G45" i="29"/>
  <c r="I175" i="72"/>
  <c r="I180" i="72"/>
  <c r="G27" i="21"/>
  <c r="G34" i="21"/>
  <c r="H45" i="29"/>
  <c r="J175" i="72"/>
  <c r="J180" i="72"/>
  <c r="H27" i="21"/>
  <c r="H34" i="21"/>
  <c r="I45" i="29"/>
  <c r="D175" i="72"/>
  <c r="D180" i="72"/>
  <c r="B27" i="21"/>
  <c r="B34" i="21"/>
  <c r="C45" i="29"/>
  <c r="E38" i="42"/>
  <c r="E43" i="42"/>
  <c r="C28" i="21"/>
  <c r="E283" i="55"/>
  <c r="D283" i="55"/>
  <c r="E15" i="61"/>
  <c r="F6" i="61"/>
  <c r="E289" i="55"/>
  <c r="F15" i="61"/>
  <c r="E290" i="55"/>
  <c r="E292" i="55"/>
  <c r="C16" i="21"/>
  <c r="C23" i="21"/>
  <c r="C36" i="21"/>
  <c r="C13" i="21"/>
  <c r="C38" i="21"/>
  <c r="C43" i="21"/>
  <c r="F20" i="61"/>
  <c r="F37" i="61"/>
  <c r="F39" i="61"/>
  <c r="F44" i="61"/>
  <c r="F49" i="61"/>
  <c r="F50" i="61"/>
  <c r="C23" i="69"/>
  <c r="D29" i="68"/>
  <c r="C45" i="21"/>
  <c r="C47" i="21"/>
  <c r="C95" i="22"/>
  <c r="C96" i="22"/>
  <c r="C98" i="22"/>
  <c r="C99" i="22"/>
  <c r="F38" i="42"/>
  <c r="F43" i="42"/>
  <c r="D28" i="21"/>
  <c r="F283" i="55"/>
  <c r="G6" i="61"/>
  <c r="F289" i="55"/>
  <c r="G15" i="61"/>
  <c r="F290" i="55"/>
  <c r="F292" i="55"/>
  <c r="D16" i="21"/>
  <c r="D23" i="21"/>
  <c r="D36" i="21"/>
  <c r="D13" i="21"/>
  <c r="D38" i="21"/>
  <c r="D43" i="21"/>
  <c r="G20" i="61"/>
  <c r="G37" i="61"/>
  <c r="G39" i="61"/>
  <c r="G44" i="61"/>
  <c r="G49" i="61"/>
  <c r="G50" i="61"/>
  <c r="D23" i="69"/>
  <c r="E29" i="68"/>
  <c r="D45" i="21"/>
  <c r="D47" i="21"/>
  <c r="D95" i="22"/>
  <c r="D96" i="22"/>
  <c r="D98" i="22"/>
  <c r="D99" i="22"/>
  <c r="G38" i="42"/>
  <c r="G43" i="42"/>
  <c r="E28" i="21"/>
  <c r="G283" i="55"/>
  <c r="H6" i="61"/>
  <c r="G289" i="55"/>
  <c r="H15" i="61"/>
  <c r="G290" i="55"/>
  <c r="G292" i="55"/>
  <c r="E16" i="21"/>
  <c r="E23" i="21"/>
  <c r="E36" i="21"/>
  <c r="E13" i="21"/>
  <c r="E38" i="21"/>
  <c r="E43" i="21"/>
  <c r="H20" i="61"/>
  <c r="H37" i="61"/>
  <c r="H39" i="61"/>
  <c r="H44" i="61"/>
  <c r="H49" i="61"/>
  <c r="H50" i="61"/>
  <c r="E23" i="69"/>
  <c r="F29" i="68"/>
  <c r="E45" i="21"/>
  <c r="E47" i="21"/>
  <c r="E95" i="22"/>
  <c r="E96" i="22"/>
  <c r="E98" i="22"/>
  <c r="E99" i="22"/>
  <c r="H38" i="42"/>
  <c r="H43" i="42"/>
  <c r="F28" i="21"/>
  <c r="H283" i="55"/>
  <c r="I6" i="61"/>
  <c r="H289" i="55"/>
  <c r="I15" i="61"/>
  <c r="H290" i="55"/>
  <c r="H292" i="55"/>
  <c r="F16" i="21"/>
  <c r="F23" i="21"/>
  <c r="F36" i="21"/>
  <c r="F13" i="21"/>
  <c r="F38" i="21"/>
  <c r="F43" i="21"/>
  <c r="I20" i="61"/>
  <c r="I37" i="61"/>
  <c r="I39" i="61"/>
  <c r="I44" i="61"/>
  <c r="I49" i="61"/>
  <c r="I50" i="61"/>
  <c r="F23" i="69"/>
  <c r="G29" i="68"/>
  <c r="F45" i="21"/>
  <c r="F47" i="21"/>
  <c r="F95" i="22"/>
  <c r="F96" i="22"/>
  <c r="F98" i="22"/>
  <c r="F99" i="22"/>
  <c r="I38" i="42"/>
  <c r="I43" i="42"/>
  <c r="G28" i="21"/>
  <c r="I283" i="55"/>
  <c r="J6" i="61"/>
  <c r="I289" i="55"/>
  <c r="J15" i="61"/>
  <c r="I290" i="55"/>
  <c r="I292" i="55"/>
  <c r="G16" i="21"/>
  <c r="G23" i="21"/>
  <c r="G36" i="21"/>
  <c r="G13" i="21"/>
  <c r="G38" i="21"/>
  <c r="G43" i="21"/>
  <c r="J20" i="61"/>
  <c r="J37" i="61"/>
  <c r="J39" i="61"/>
  <c r="J44" i="61"/>
  <c r="J49" i="61"/>
  <c r="J50" i="61"/>
  <c r="G23" i="69"/>
  <c r="H29" i="68"/>
  <c r="G45" i="21"/>
  <c r="G47" i="21"/>
  <c r="G95" i="22"/>
  <c r="G96" i="22"/>
  <c r="G98" i="22"/>
  <c r="G99" i="22"/>
  <c r="J38" i="42"/>
  <c r="J43" i="42"/>
  <c r="H28" i="21"/>
  <c r="J283" i="55"/>
  <c r="K6" i="61"/>
  <c r="J289" i="55"/>
  <c r="K15" i="61"/>
  <c r="J290" i="55"/>
  <c r="J292" i="55"/>
  <c r="H16" i="21"/>
  <c r="H23" i="21"/>
  <c r="H36" i="21"/>
  <c r="H13" i="21"/>
  <c r="H38" i="21"/>
  <c r="H43" i="21"/>
  <c r="K20" i="61"/>
  <c r="K37" i="61"/>
  <c r="K39" i="61"/>
  <c r="K44" i="61"/>
  <c r="K49" i="61"/>
  <c r="K50" i="61"/>
  <c r="H23" i="69"/>
  <c r="I29" i="68"/>
  <c r="H45" i="21"/>
  <c r="H47" i="21"/>
  <c r="H95" i="22"/>
  <c r="H96" i="22"/>
  <c r="H98" i="22"/>
  <c r="H99" i="22"/>
  <c r="D38" i="42"/>
  <c r="D43" i="42"/>
  <c r="B28" i="21"/>
  <c r="D290" i="55"/>
  <c r="D292" i="55"/>
  <c r="B16" i="21"/>
  <c r="B23" i="21"/>
  <c r="B36" i="21"/>
  <c r="B13" i="21"/>
  <c r="B38" i="21"/>
  <c r="B43" i="21"/>
  <c r="E20" i="61"/>
  <c r="E37" i="61"/>
  <c r="E39" i="61"/>
  <c r="E44" i="61"/>
  <c r="E49" i="61"/>
  <c r="E50" i="61"/>
  <c r="E51" i="61"/>
  <c r="B23" i="69"/>
  <c r="C29" i="68"/>
  <c r="B45" i="21"/>
  <c r="B47" i="21"/>
  <c r="B95" i="22"/>
  <c r="B96" i="22"/>
  <c r="B98" i="22"/>
  <c r="B99" i="22"/>
  <c r="E21" i="62"/>
  <c r="D12" i="62"/>
  <c r="D13" i="62"/>
  <c r="E22"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16" i="23"/>
  <c r="D8" i="23"/>
  <c r="F16" i="23"/>
  <c r="E16" i="23"/>
  <c r="G16" i="23"/>
  <c r="C17" i="23"/>
  <c r="D17" i="23"/>
  <c r="F17" i="23"/>
  <c r="E17" i="23"/>
  <c r="G17" i="23"/>
  <c r="C18" i="23"/>
  <c r="D18" i="23"/>
  <c r="F18" i="23"/>
  <c r="E18" i="23"/>
  <c r="G18" i="23"/>
  <c r="C19" i="23"/>
  <c r="D19" i="23"/>
  <c r="F19" i="23"/>
  <c r="E19" i="23"/>
  <c r="G19" i="23"/>
  <c r="C20" i="23"/>
  <c r="D20" i="23"/>
  <c r="F20" i="23"/>
  <c r="E20" i="23"/>
  <c r="G20" i="23"/>
  <c r="C21" i="23"/>
  <c r="D21" i="23"/>
  <c r="C27" i="68"/>
  <c r="B48" i="21"/>
  <c r="B49" i="21"/>
  <c r="D95" i="29"/>
  <c r="D96" i="29"/>
  <c r="D97" i="29"/>
  <c r="D98" i="29"/>
  <c r="C94" i="29"/>
  <c r="D99" i="29"/>
  <c r="F21" i="23"/>
  <c r="E21" i="23"/>
  <c r="G21" i="23"/>
  <c r="C22" i="23"/>
  <c r="D22" i="23"/>
  <c r="F22" i="23"/>
  <c r="E22" i="23"/>
  <c r="G22" i="23"/>
  <c r="C23" i="23"/>
  <c r="D23" i="23"/>
  <c r="F23" i="23"/>
  <c r="E23" i="23"/>
  <c r="G23" i="23"/>
  <c r="C24" i="23"/>
  <c r="D24" i="23"/>
  <c r="F24" i="23"/>
  <c r="E24" i="23"/>
  <c r="G24" i="23"/>
  <c r="C25" i="23"/>
  <c r="D25" i="23"/>
  <c r="F25" i="23"/>
  <c r="E25" i="23"/>
  <c r="G25" i="23"/>
  <c r="C26" i="23"/>
  <c r="D26" i="23"/>
  <c r="F26" i="23"/>
  <c r="E26" i="23"/>
  <c r="G26" i="23"/>
  <c r="C27" i="23"/>
  <c r="D27" i="23"/>
  <c r="F27" i="23"/>
  <c r="E27" i="23"/>
  <c r="G27" i="23"/>
  <c r="C28" i="23"/>
  <c r="D28" i="23"/>
  <c r="F28" i="23"/>
  <c r="E28" i="23"/>
  <c r="G28" i="23"/>
  <c r="C29" i="23"/>
  <c r="D29" i="23"/>
  <c r="F29" i="23"/>
  <c r="E29" i="23"/>
  <c r="G29" i="23"/>
  <c r="C30" i="23"/>
  <c r="D30" i="23"/>
  <c r="F30" i="23"/>
  <c r="E30" i="23"/>
  <c r="G30" i="23"/>
  <c r="C31" i="23"/>
  <c r="D31" i="23"/>
  <c r="F31" i="23"/>
  <c r="E31" i="23"/>
  <c r="G31" i="23"/>
  <c r="C32" i="23"/>
  <c r="D32" i="23"/>
  <c r="F32" i="23"/>
  <c r="E32" i="23"/>
  <c r="G32" i="23"/>
  <c r="C33" i="23"/>
  <c r="D33" i="23"/>
  <c r="D27" i="68"/>
  <c r="C48" i="21"/>
  <c r="C49" i="21"/>
  <c r="E95" i="29"/>
  <c r="E96" i="29"/>
  <c r="E97" i="29"/>
  <c r="E98" i="29"/>
  <c r="E99" i="29"/>
  <c r="F33" i="23"/>
  <c r="E33" i="23"/>
  <c r="G33" i="23"/>
  <c r="C34" i="23"/>
  <c r="D34" i="23"/>
  <c r="F34" i="23"/>
  <c r="E34" i="23"/>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7" i="68"/>
  <c r="D48" i="21"/>
  <c r="D49" i="21"/>
  <c r="F95" i="29"/>
  <c r="F96" i="29"/>
  <c r="F97" i="29"/>
  <c r="F98" i="29"/>
  <c r="F99" i="29"/>
  <c r="F45" i="23"/>
  <c r="E45" i="23"/>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E52" i="23"/>
  <c r="G52" i="23"/>
  <c r="C53" i="23"/>
  <c r="D53" i="23"/>
  <c r="E53" i="23"/>
  <c r="G53" i="23"/>
  <c r="C54" i="23"/>
  <c r="D54" i="23"/>
  <c r="E54" i="23"/>
  <c r="G54" i="23"/>
  <c r="C55" i="23"/>
  <c r="D55" i="23"/>
  <c r="E55" i="23"/>
  <c r="G55" i="23"/>
  <c r="C56" i="23"/>
  <c r="D56" i="23"/>
  <c r="E56" i="23"/>
  <c r="G56" i="23"/>
  <c r="C57" i="23"/>
  <c r="D57" i="23"/>
  <c r="F27" i="68"/>
  <c r="E48" i="21"/>
  <c r="E49" i="21"/>
  <c r="G95" i="29"/>
  <c r="G96" i="29"/>
  <c r="G97" i="29"/>
  <c r="G98" i="29"/>
  <c r="G99" i="29"/>
  <c r="E57" i="23"/>
  <c r="G57" i="23"/>
  <c r="C58" i="23"/>
  <c r="D58" i="23"/>
  <c r="E58" i="23"/>
  <c r="G58" i="23"/>
  <c r="C59" i="23"/>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G27" i="68"/>
  <c r="F48" i="21"/>
  <c r="F49" i="21"/>
  <c r="H95" i="29"/>
  <c r="H96" i="29"/>
  <c r="H97" i="29"/>
  <c r="H98" i="29"/>
  <c r="D101" i="29"/>
  <c r="E295" i="55"/>
  <c r="E301" i="55"/>
  <c r="C26" i="21"/>
  <c r="F295" i="55"/>
  <c r="F301" i="55"/>
  <c r="D26" i="21"/>
  <c r="G295" i="55"/>
  <c r="G301" i="55"/>
  <c r="E26" i="21"/>
  <c r="H295" i="55"/>
  <c r="H301" i="55"/>
  <c r="F26" i="21"/>
  <c r="I295" i="55"/>
  <c r="I301" i="55"/>
  <c r="G26" i="21"/>
  <c r="J295" i="55"/>
  <c r="J301" i="55"/>
  <c r="H26" i="21"/>
  <c r="D295" i="55"/>
  <c r="D301" i="55"/>
  <c r="B26" i="21"/>
  <c r="C62" i="55"/>
  <c r="D62" i="55"/>
  <c r="E62" i="55"/>
  <c r="F62" i="55"/>
  <c r="G62" i="55"/>
  <c r="H62" i="55"/>
  <c r="A50" i="81"/>
  <c r="A19" i="55"/>
  <c r="A76" i="55"/>
  <c r="A128" i="55"/>
  <c r="A186" i="55"/>
  <c r="G67" i="57"/>
  <c r="G65" i="57"/>
  <c r="G63" i="57"/>
  <c r="G62" i="57"/>
  <c r="G61" i="57"/>
  <c r="F64" i="57"/>
  <c r="G64" i="57"/>
  <c r="D16" i="81"/>
  <c r="F16" i="81"/>
  <c r="H16" i="81"/>
  <c r="B44" i="81"/>
  <c r="C44" i="81"/>
  <c r="D44" i="81"/>
  <c r="D13" i="55"/>
  <c r="D63" i="55"/>
  <c r="D70" i="55"/>
  <c r="D122" i="55"/>
  <c r="C13" i="55"/>
  <c r="C63" i="55"/>
  <c r="C70" i="55"/>
  <c r="C122" i="55"/>
  <c r="F180" i="55"/>
  <c r="D18" i="81"/>
  <c r="F18" i="81"/>
  <c r="H18" i="81"/>
  <c r="B46" i="81"/>
  <c r="C46" i="81"/>
  <c r="D46" i="81"/>
  <c r="D15" i="55"/>
  <c r="D72" i="55"/>
  <c r="D124" i="55"/>
  <c r="C15" i="55"/>
  <c r="C72" i="55"/>
  <c r="C124" i="55"/>
  <c r="F182" i="55"/>
  <c r="D20" i="81"/>
  <c r="F20" i="81"/>
  <c r="H20" i="81"/>
  <c r="B48" i="81"/>
  <c r="C48" i="81"/>
  <c r="D48" i="81"/>
  <c r="D17" i="55"/>
  <c r="D74" i="55"/>
  <c r="D126" i="55"/>
  <c r="C17" i="55"/>
  <c r="C74" i="55"/>
  <c r="C126" i="55"/>
  <c r="F184" i="55"/>
  <c r="D22" i="81"/>
  <c r="F22" i="81"/>
  <c r="H22" i="81"/>
  <c r="B50" i="81"/>
  <c r="C50" i="81"/>
  <c r="D50" i="81"/>
  <c r="D19" i="55"/>
  <c r="D76" i="55"/>
  <c r="D128" i="55"/>
  <c r="C19" i="55"/>
  <c r="C76" i="55"/>
  <c r="C128" i="55"/>
  <c r="F186" i="55"/>
  <c r="C52" i="81"/>
  <c r="D52" i="81"/>
  <c r="D21" i="55"/>
  <c r="B53" i="81"/>
  <c r="C53" i="81"/>
  <c r="D53" i="81"/>
  <c r="D22" i="55"/>
  <c r="D27" i="81"/>
  <c r="F27" i="81"/>
  <c r="H27" i="81"/>
  <c r="B54" i="81"/>
  <c r="C54" i="81"/>
  <c r="D54" i="81"/>
  <c r="D23" i="55"/>
  <c r="D28" i="81"/>
  <c r="F28" i="81"/>
  <c r="H28" i="81"/>
  <c r="B55" i="81"/>
  <c r="C55" i="81"/>
  <c r="D55" i="81"/>
  <c r="D24" i="55"/>
  <c r="D29" i="81"/>
  <c r="F29" i="81"/>
  <c r="H29" i="81"/>
  <c r="B56" i="81"/>
  <c r="C56" i="81"/>
  <c r="D56" i="81"/>
  <c r="D25" i="55"/>
  <c r="D30" i="81"/>
  <c r="F30" i="81"/>
  <c r="H30" i="81"/>
  <c r="B57" i="81"/>
  <c r="C57" i="81"/>
  <c r="D57" i="81"/>
  <c r="D26" i="55"/>
  <c r="D31" i="81"/>
  <c r="F31" i="81"/>
  <c r="H31" i="81"/>
  <c r="B58" i="81"/>
  <c r="C58" i="81"/>
  <c r="D58" i="81"/>
  <c r="D27" i="55"/>
  <c r="C32" i="81"/>
  <c r="D33" i="81"/>
  <c r="F33" i="81"/>
  <c r="H33" i="81"/>
  <c r="B59" i="81"/>
  <c r="C59" i="81"/>
  <c r="D59" i="81"/>
  <c r="D28" i="55"/>
  <c r="D34" i="81"/>
  <c r="F34" i="81"/>
  <c r="H34" i="81"/>
  <c r="B60" i="81"/>
  <c r="C60" i="81"/>
  <c r="D60" i="81"/>
  <c r="D29" i="55"/>
  <c r="D35" i="81"/>
  <c r="F35" i="81"/>
  <c r="H35" i="81"/>
  <c r="B61" i="81"/>
  <c r="C61" i="81"/>
  <c r="D61" i="81"/>
  <c r="D30" i="55"/>
  <c r="D36" i="81"/>
  <c r="F36" i="81"/>
  <c r="H36" i="81"/>
  <c r="B62" i="81"/>
  <c r="C62" i="81"/>
  <c r="D62" i="81"/>
  <c r="D31" i="55"/>
  <c r="D32" i="55"/>
  <c r="B51" i="81"/>
  <c r="C51" i="81"/>
  <c r="D51" i="81"/>
  <c r="D20" i="55"/>
  <c r="D33" i="55"/>
  <c r="D65" i="55"/>
  <c r="F200" i="55"/>
  <c r="D78" i="55"/>
  <c r="D130" i="55"/>
  <c r="C21" i="55"/>
  <c r="C78" i="55"/>
  <c r="C130" i="55"/>
  <c r="F188" i="55"/>
  <c r="D79" i="55"/>
  <c r="D131" i="55"/>
  <c r="C22" i="55"/>
  <c r="C79" i="55"/>
  <c r="C131" i="55"/>
  <c r="F189" i="55"/>
  <c r="D80" i="55"/>
  <c r="D132" i="55"/>
  <c r="C23" i="55"/>
  <c r="C80" i="55"/>
  <c r="C132" i="55"/>
  <c r="F190" i="55"/>
  <c r="D81" i="55"/>
  <c r="D133" i="55"/>
  <c r="C24" i="55"/>
  <c r="C81" i="55"/>
  <c r="C133" i="55"/>
  <c r="F191" i="55"/>
  <c r="D82" i="55"/>
  <c r="D134" i="55"/>
  <c r="C25" i="55"/>
  <c r="C82" i="55"/>
  <c r="C134" i="55"/>
  <c r="F192" i="55"/>
  <c r="D83" i="55"/>
  <c r="D135" i="55"/>
  <c r="C26" i="55"/>
  <c r="C83" i="55"/>
  <c r="C135" i="55"/>
  <c r="F193" i="55"/>
  <c r="B63" i="55"/>
  <c r="D84" i="55"/>
  <c r="D136" i="55"/>
  <c r="C27" i="55"/>
  <c r="C84" i="55"/>
  <c r="C136" i="55"/>
  <c r="F194" i="55"/>
  <c r="D85" i="55"/>
  <c r="D137" i="55"/>
  <c r="C28" i="55"/>
  <c r="C85" i="55"/>
  <c r="C137" i="55"/>
  <c r="F195" i="55"/>
  <c r="D86" i="55"/>
  <c r="D138" i="55"/>
  <c r="C29" i="55"/>
  <c r="C86" i="55"/>
  <c r="C138" i="55"/>
  <c r="F196" i="55"/>
  <c r="D87" i="55"/>
  <c r="D139" i="55"/>
  <c r="C30" i="55"/>
  <c r="C87" i="55"/>
  <c r="C139" i="55"/>
  <c r="F197" i="55"/>
  <c r="D88" i="55"/>
  <c r="D140" i="55"/>
  <c r="C31" i="55"/>
  <c r="C88" i="55"/>
  <c r="C140" i="55"/>
  <c r="F198" i="55"/>
  <c r="D89" i="55"/>
  <c r="D141" i="55"/>
  <c r="C32" i="55"/>
  <c r="C89" i="55"/>
  <c r="C141" i="55"/>
  <c r="F199" i="55"/>
  <c r="D77" i="55"/>
  <c r="D129" i="55"/>
  <c r="C20" i="55"/>
  <c r="C77" i="55"/>
  <c r="C129" i="55"/>
  <c r="F187" i="55"/>
  <c r="C69" i="55"/>
  <c r="C121" i="55"/>
  <c r="D69" i="55"/>
  <c r="D121" i="55"/>
  <c r="F179" i="55"/>
  <c r="C71" i="55"/>
  <c r="C123" i="55"/>
  <c r="D71" i="55"/>
  <c r="D123" i="55"/>
  <c r="F181" i="55"/>
  <c r="C73" i="55"/>
  <c r="C125" i="55"/>
  <c r="D73" i="55"/>
  <c r="D125" i="55"/>
  <c r="F183" i="55"/>
  <c r="C75" i="55"/>
  <c r="C127" i="55"/>
  <c r="D75" i="55"/>
  <c r="D127" i="55"/>
  <c r="F185" i="55"/>
  <c r="C68" i="55"/>
  <c r="C120" i="55"/>
  <c r="D68" i="55"/>
  <c r="D120" i="55"/>
  <c r="F178" i="55"/>
  <c r="F229" i="55"/>
  <c r="G31" i="61"/>
  <c r="B92" i="81"/>
  <c r="C92" i="81"/>
  <c r="D92" i="81"/>
  <c r="E9" i="53"/>
  <c r="E62" i="53"/>
  <c r="F130" i="53"/>
  <c r="B93" i="81"/>
  <c r="C93" i="81"/>
  <c r="D93" i="81"/>
  <c r="E10" i="53"/>
  <c r="E63" i="53"/>
  <c r="D10" i="53"/>
  <c r="D63" i="53"/>
  <c r="F131" i="53"/>
  <c r="B94" i="81"/>
  <c r="C94" i="81"/>
  <c r="D94" i="81"/>
  <c r="E11" i="53"/>
  <c r="E64" i="53"/>
  <c r="D11" i="53"/>
  <c r="D64" i="53"/>
  <c r="F132" i="53"/>
  <c r="B95" i="81"/>
  <c r="C95" i="81"/>
  <c r="D95" i="81"/>
  <c r="E12" i="53"/>
  <c r="E65" i="53"/>
  <c r="D12" i="53"/>
  <c r="D65" i="53"/>
  <c r="F133" i="53"/>
  <c r="B96" i="81"/>
  <c r="C96" i="81"/>
  <c r="D96" i="81"/>
  <c r="E13" i="53"/>
  <c r="E66" i="53"/>
  <c r="D13" i="53"/>
  <c r="D66" i="53"/>
  <c r="F134" i="53"/>
  <c r="B97" i="81"/>
  <c r="C97" i="81"/>
  <c r="D97" i="81"/>
  <c r="E14" i="53"/>
  <c r="E67" i="53"/>
  <c r="D14" i="53"/>
  <c r="D67" i="53"/>
  <c r="F135" i="53"/>
  <c r="B98" i="81"/>
  <c r="C98" i="81"/>
  <c r="D98" i="81"/>
  <c r="E15" i="53"/>
  <c r="E68" i="53"/>
  <c r="D15" i="53"/>
  <c r="D68" i="53"/>
  <c r="F136" i="53"/>
  <c r="B99" i="81"/>
  <c r="C99" i="81"/>
  <c r="D99" i="81"/>
  <c r="E16" i="53"/>
  <c r="E69" i="53"/>
  <c r="D16" i="53"/>
  <c r="D69" i="53"/>
  <c r="F137" i="53"/>
  <c r="B101" i="81"/>
  <c r="C101" i="81"/>
  <c r="D101" i="81"/>
  <c r="E18" i="53"/>
  <c r="E71" i="53"/>
  <c r="D18" i="53"/>
  <c r="D71" i="53"/>
  <c r="F139" i="53"/>
  <c r="B102" i="81"/>
  <c r="C102" i="81"/>
  <c r="D102" i="81"/>
  <c r="E19" i="53"/>
  <c r="E72" i="53"/>
  <c r="D19" i="53"/>
  <c r="D72" i="53"/>
  <c r="F140" i="53"/>
  <c r="B103" i="81"/>
  <c r="C103" i="81"/>
  <c r="D103" i="81"/>
  <c r="E20" i="53"/>
  <c r="E73" i="53"/>
  <c r="D20" i="53"/>
  <c r="D73" i="53"/>
  <c r="F141" i="53"/>
  <c r="B104" i="81"/>
  <c r="C104" i="81"/>
  <c r="D104" i="81"/>
  <c r="E21" i="53"/>
  <c r="E74" i="53"/>
  <c r="D21" i="53"/>
  <c r="D74" i="53"/>
  <c r="F142" i="53"/>
  <c r="B105" i="81"/>
  <c r="C105" i="81"/>
  <c r="D105" i="81"/>
  <c r="E22" i="53"/>
  <c r="E75" i="53"/>
  <c r="D22" i="53"/>
  <c r="D75" i="53"/>
  <c r="F143" i="53"/>
  <c r="B106" i="81"/>
  <c r="C106" i="81"/>
  <c r="D106" i="81"/>
  <c r="E23" i="53"/>
  <c r="E76" i="53"/>
  <c r="D23" i="53"/>
  <c r="D76" i="53"/>
  <c r="F144" i="53"/>
  <c r="B107" i="81"/>
  <c r="C107" i="81"/>
  <c r="D107" i="81"/>
  <c r="E24" i="53"/>
  <c r="E77" i="53"/>
  <c r="D24" i="53"/>
  <c r="D77" i="53"/>
  <c r="F145" i="53"/>
  <c r="B108" i="81"/>
  <c r="C108" i="81"/>
  <c r="D108" i="81"/>
  <c r="E25" i="53"/>
  <c r="E78" i="53"/>
  <c r="D25" i="53"/>
  <c r="D78" i="53"/>
  <c r="F146" i="53"/>
  <c r="B110" i="81"/>
  <c r="C110" i="81"/>
  <c r="D110" i="81"/>
  <c r="E27" i="53"/>
  <c r="E80" i="53"/>
  <c r="D27" i="53"/>
  <c r="D80" i="53"/>
  <c r="F148" i="53"/>
  <c r="B111" i="81"/>
  <c r="C111" i="81"/>
  <c r="D111" i="81"/>
  <c r="E28" i="53"/>
  <c r="E81" i="53"/>
  <c r="D28" i="53"/>
  <c r="D81" i="53"/>
  <c r="F149" i="53"/>
  <c r="B112" i="81"/>
  <c r="C112" i="81"/>
  <c r="D112" i="81"/>
  <c r="E29" i="53"/>
  <c r="E82" i="53"/>
  <c r="D29" i="53"/>
  <c r="D82" i="53"/>
  <c r="F150" i="53"/>
  <c r="B113" i="81"/>
  <c r="C113" i="81"/>
  <c r="D113" i="81"/>
  <c r="E30" i="53"/>
  <c r="E83" i="53"/>
  <c r="D30" i="53"/>
  <c r="D83" i="53"/>
  <c r="F151" i="53"/>
  <c r="E114" i="53"/>
  <c r="D9" i="53"/>
  <c r="D62" i="53"/>
  <c r="D114" i="53"/>
  <c r="F182" i="53"/>
  <c r="E115" i="53"/>
  <c r="D115" i="53"/>
  <c r="F183" i="53"/>
  <c r="E116" i="53"/>
  <c r="D116" i="53"/>
  <c r="F184" i="53"/>
  <c r="E118" i="53"/>
  <c r="D118" i="53"/>
  <c r="F187" i="53"/>
  <c r="E119" i="53"/>
  <c r="D119" i="53"/>
  <c r="F188" i="53"/>
  <c r="F191" i="53"/>
  <c r="G29" i="61"/>
  <c r="B77" i="81"/>
  <c r="C77" i="81"/>
  <c r="D77" i="81"/>
  <c r="D23" i="72"/>
  <c r="D47" i="72"/>
  <c r="D95" i="72"/>
  <c r="C23" i="72"/>
  <c r="C47" i="72"/>
  <c r="C95" i="72"/>
  <c r="F139" i="72"/>
  <c r="B68" i="81"/>
  <c r="C68" i="81"/>
  <c r="D68" i="81"/>
  <c r="D14" i="72"/>
  <c r="D38" i="72"/>
  <c r="D63" i="72"/>
  <c r="C14" i="72"/>
  <c r="C38" i="72"/>
  <c r="C63" i="72"/>
  <c r="F140" i="72"/>
  <c r="B72" i="81"/>
  <c r="C72" i="81"/>
  <c r="D72" i="81"/>
  <c r="D18" i="72"/>
  <c r="D42" i="72"/>
  <c r="D78" i="72"/>
  <c r="C18" i="72"/>
  <c r="C42" i="72"/>
  <c r="C78" i="72"/>
  <c r="F141" i="72"/>
  <c r="B70" i="81"/>
  <c r="C70" i="81"/>
  <c r="D70" i="81"/>
  <c r="D16" i="72"/>
  <c r="D40" i="72"/>
  <c r="D70" i="72"/>
  <c r="C16" i="72"/>
  <c r="C40" i="72"/>
  <c r="C70" i="72"/>
  <c r="F142" i="72"/>
  <c r="F147" i="72"/>
  <c r="B67" i="81"/>
  <c r="C67" i="81"/>
  <c r="D67" i="81"/>
  <c r="D13" i="72"/>
  <c r="B69" i="81"/>
  <c r="C69" i="81"/>
  <c r="D69" i="81"/>
  <c r="D15" i="72"/>
  <c r="B71" i="81"/>
  <c r="C71" i="81"/>
  <c r="D71" i="81"/>
  <c r="D17" i="72"/>
  <c r="B73" i="81"/>
  <c r="C73" i="81"/>
  <c r="D73" i="81"/>
  <c r="D19" i="72"/>
  <c r="B74" i="81"/>
  <c r="C74" i="81"/>
  <c r="D74" i="81"/>
  <c r="D20" i="72"/>
  <c r="B75" i="81"/>
  <c r="C75" i="81"/>
  <c r="D75" i="81"/>
  <c r="D21" i="72"/>
  <c r="B76" i="81"/>
  <c r="C76" i="81"/>
  <c r="D76" i="81"/>
  <c r="D22" i="72"/>
  <c r="B78" i="81"/>
  <c r="C78" i="81"/>
  <c r="D78" i="81"/>
  <c r="D24" i="72"/>
  <c r="B79" i="81"/>
  <c r="C79" i="81"/>
  <c r="D79" i="81"/>
  <c r="D25" i="72"/>
  <c r="B80" i="81"/>
  <c r="C80" i="81"/>
  <c r="D80" i="81"/>
  <c r="D26" i="72"/>
  <c r="B81" i="81"/>
  <c r="C81" i="81"/>
  <c r="D81" i="81"/>
  <c r="D27" i="72"/>
  <c r="B82" i="81"/>
  <c r="C82" i="81"/>
  <c r="D82" i="81"/>
  <c r="D28" i="72"/>
  <c r="B83" i="81"/>
  <c r="C83" i="81"/>
  <c r="D83" i="81"/>
  <c r="D29" i="72"/>
  <c r="B84" i="81"/>
  <c r="C84" i="81"/>
  <c r="D84" i="81"/>
  <c r="D30" i="72"/>
  <c r="B85" i="81"/>
  <c r="C85" i="81"/>
  <c r="D85" i="81"/>
  <c r="D31" i="72"/>
  <c r="D32" i="72"/>
  <c r="D35" i="72"/>
  <c r="F149" i="72"/>
  <c r="F151" i="72"/>
  <c r="G32" i="61"/>
  <c r="G36" i="61"/>
  <c r="D8" i="69"/>
  <c r="B13" i="55"/>
  <c r="B70" i="55"/>
  <c r="B122" i="55"/>
  <c r="E180" i="55"/>
  <c r="B15" i="55"/>
  <c r="B72" i="55"/>
  <c r="B124" i="55"/>
  <c r="E182" i="55"/>
  <c r="B17" i="55"/>
  <c r="B74" i="55"/>
  <c r="B126" i="55"/>
  <c r="E184" i="55"/>
  <c r="B19" i="55"/>
  <c r="B76" i="55"/>
  <c r="B128" i="55"/>
  <c r="E186" i="55"/>
  <c r="C33" i="55"/>
  <c r="C65" i="55"/>
  <c r="E200" i="55"/>
  <c r="B78" i="55"/>
  <c r="B130" i="55"/>
  <c r="E188" i="55"/>
  <c r="B22" i="55"/>
  <c r="B79" i="55"/>
  <c r="B131" i="55"/>
  <c r="E189" i="55"/>
  <c r="B23" i="55"/>
  <c r="B80" i="55"/>
  <c r="B132" i="55"/>
  <c r="E190" i="55"/>
  <c r="B24" i="55"/>
  <c r="B81" i="55"/>
  <c r="B133" i="55"/>
  <c r="E191" i="55"/>
  <c r="B25" i="55"/>
  <c r="B82" i="55"/>
  <c r="B134" i="55"/>
  <c r="E192" i="55"/>
  <c r="B26" i="55"/>
  <c r="B83" i="55"/>
  <c r="B135" i="55"/>
  <c r="E193" i="55"/>
  <c r="B27" i="55"/>
  <c r="B84" i="55"/>
  <c r="B136" i="55"/>
  <c r="E194" i="55"/>
  <c r="B28" i="55"/>
  <c r="B85" i="55"/>
  <c r="B137" i="55"/>
  <c r="E195" i="55"/>
  <c r="B29" i="55"/>
  <c r="B86" i="55"/>
  <c r="B138" i="55"/>
  <c r="E196" i="55"/>
  <c r="B30" i="55"/>
  <c r="B87" i="55"/>
  <c r="B139" i="55"/>
  <c r="E197" i="55"/>
  <c r="B31" i="55"/>
  <c r="B88" i="55"/>
  <c r="B140" i="55"/>
  <c r="E198" i="55"/>
  <c r="B32" i="55"/>
  <c r="B89" i="55"/>
  <c r="B141" i="55"/>
  <c r="E199" i="55"/>
  <c r="B20" i="55"/>
  <c r="B77" i="55"/>
  <c r="B129" i="55"/>
  <c r="E187" i="55"/>
  <c r="B69" i="55"/>
  <c r="B121" i="55"/>
  <c r="E179" i="55"/>
  <c r="B71" i="55"/>
  <c r="B123" i="55"/>
  <c r="E181" i="55"/>
  <c r="B73" i="55"/>
  <c r="B125" i="55"/>
  <c r="E183" i="55"/>
  <c r="B75" i="55"/>
  <c r="B127" i="55"/>
  <c r="E185" i="55"/>
  <c r="B68" i="55"/>
  <c r="B120" i="55"/>
  <c r="E178" i="55"/>
  <c r="E229" i="55"/>
  <c r="F31" i="61"/>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30" i="53"/>
  <c r="C83" i="53"/>
  <c r="E151" i="53"/>
  <c r="C9" i="53"/>
  <c r="C62" i="53"/>
  <c r="C114" i="53"/>
  <c r="E182" i="53"/>
  <c r="C115" i="53"/>
  <c r="E183" i="53"/>
  <c r="C116" i="53"/>
  <c r="E184" i="53"/>
  <c r="C118" i="53"/>
  <c r="E187" i="53"/>
  <c r="C119" i="53"/>
  <c r="E188" i="53"/>
  <c r="E191" i="53"/>
  <c r="F29" i="61"/>
  <c r="B23" i="72"/>
  <c r="B47" i="72"/>
  <c r="B95" i="72"/>
  <c r="E139" i="72"/>
  <c r="B14" i="72"/>
  <c r="B38" i="72"/>
  <c r="B63" i="72"/>
  <c r="E140" i="72"/>
  <c r="B18" i="72"/>
  <c r="B42" i="72"/>
  <c r="B78" i="72"/>
  <c r="E141" i="72"/>
  <c r="B16" i="72"/>
  <c r="B40" i="72"/>
  <c r="B70" i="72"/>
  <c r="E142" i="72"/>
  <c r="E147" i="72"/>
  <c r="C13" i="72"/>
  <c r="C15" i="72"/>
  <c r="C17" i="72"/>
  <c r="C19" i="72"/>
  <c r="C20" i="72"/>
  <c r="C21" i="72"/>
  <c r="C22" i="72"/>
  <c r="C24" i="72"/>
  <c r="C25" i="72"/>
  <c r="C26" i="72"/>
  <c r="C27" i="72"/>
  <c r="C28" i="72"/>
  <c r="C29" i="72"/>
  <c r="C30" i="72"/>
  <c r="C31" i="72"/>
  <c r="C32" i="72"/>
  <c r="C35" i="72"/>
  <c r="E149" i="72"/>
  <c r="E151" i="72"/>
  <c r="F32" i="61"/>
  <c r="F36" i="61"/>
  <c r="C8" i="69"/>
  <c r="E31" i="68"/>
  <c r="E44" i="81"/>
  <c r="E13" i="55"/>
  <c r="E63" i="55"/>
  <c r="E70" i="55"/>
  <c r="E122" i="55"/>
  <c r="G180" i="55"/>
  <c r="E46" i="81"/>
  <c r="E15" i="55"/>
  <c r="E72" i="55"/>
  <c r="E124" i="55"/>
  <c r="G182" i="55"/>
  <c r="E48" i="81"/>
  <c r="E17" i="55"/>
  <c r="E74" i="55"/>
  <c r="E126" i="55"/>
  <c r="G184" i="55"/>
  <c r="E50" i="81"/>
  <c r="E19" i="55"/>
  <c r="E76" i="55"/>
  <c r="E128" i="55"/>
  <c r="G186" i="55"/>
  <c r="E52" i="81"/>
  <c r="E21" i="55"/>
  <c r="E53" i="81"/>
  <c r="E22" i="55"/>
  <c r="E54" i="81"/>
  <c r="E23" i="55"/>
  <c r="E55" i="81"/>
  <c r="E24" i="55"/>
  <c r="E56" i="81"/>
  <c r="E25" i="55"/>
  <c r="E57" i="81"/>
  <c r="E26" i="55"/>
  <c r="E58" i="81"/>
  <c r="E27" i="55"/>
  <c r="E59" i="81"/>
  <c r="E28" i="55"/>
  <c r="E60" i="81"/>
  <c r="E29" i="55"/>
  <c r="E61" i="81"/>
  <c r="E30" i="55"/>
  <c r="E62" i="81"/>
  <c r="E31" i="55"/>
  <c r="E32" i="55"/>
  <c r="E51" i="81"/>
  <c r="E20" i="55"/>
  <c r="E33" i="55"/>
  <c r="E65" i="55"/>
  <c r="G200" i="55"/>
  <c r="E78" i="55"/>
  <c r="E130" i="55"/>
  <c r="G188" i="55"/>
  <c r="E79" i="55"/>
  <c r="E131" i="55"/>
  <c r="G189" i="55"/>
  <c r="E80" i="55"/>
  <c r="E132" i="55"/>
  <c r="G190" i="55"/>
  <c r="E81" i="55"/>
  <c r="E133" i="55"/>
  <c r="G191" i="55"/>
  <c r="E82" i="55"/>
  <c r="E134" i="55"/>
  <c r="G192" i="55"/>
  <c r="E83" i="55"/>
  <c r="E135" i="55"/>
  <c r="G193" i="55"/>
  <c r="E84" i="55"/>
  <c r="E136" i="55"/>
  <c r="G194" i="55"/>
  <c r="E85" i="55"/>
  <c r="E137" i="55"/>
  <c r="G195" i="55"/>
  <c r="E86" i="55"/>
  <c r="E138" i="55"/>
  <c r="G196" i="55"/>
  <c r="E87" i="55"/>
  <c r="E139" i="55"/>
  <c r="G197" i="55"/>
  <c r="E88" i="55"/>
  <c r="E140" i="55"/>
  <c r="G198" i="55"/>
  <c r="E89" i="55"/>
  <c r="E141" i="55"/>
  <c r="G199" i="55"/>
  <c r="E77" i="55"/>
  <c r="E129" i="55"/>
  <c r="G187" i="55"/>
  <c r="E69" i="55"/>
  <c r="E121" i="55"/>
  <c r="G179" i="55"/>
  <c r="E71" i="55"/>
  <c r="E123" i="55"/>
  <c r="G181" i="55"/>
  <c r="E73" i="55"/>
  <c r="E125" i="55"/>
  <c r="G183" i="55"/>
  <c r="E75" i="55"/>
  <c r="E127" i="55"/>
  <c r="G185" i="55"/>
  <c r="E68" i="55"/>
  <c r="E120" i="55"/>
  <c r="G178" i="55"/>
  <c r="G229" i="55"/>
  <c r="H31" i="61"/>
  <c r="E92" i="81"/>
  <c r="F9" i="53"/>
  <c r="F62" i="53"/>
  <c r="G130" i="53"/>
  <c r="E93" i="81"/>
  <c r="F10" i="53"/>
  <c r="F63" i="53"/>
  <c r="G131" i="53"/>
  <c r="E94" i="81"/>
  <c r="F11" i="53"/>
  <c r="F64" i="53"/>
  <c r="G132" i="53"/>
  <c r="E95" i="81"/>
  <c r="F12" i="53"/>
  <c r="F65" i="53"/>
  <c r="G133" i="53"/>
  <c r="E96" i="81"/>
  <c r="F13" i="53"/>
  <c r="F66" i="53"/>
  <c r="G134" i="53"/>
  <c r="E97" i="81"/>
  <c r="F14" i="53"/>
  <c r="F67" i="53"/>
  <c r="G135" i="53"/>
  <c r="E98" i="81"/>
  <c r="F15" i="53"/>
  <c r="F68" i="53"/>
  <c r="G136" i="53"/>
  <c r="E99" i="81"/>
  <c r="F16" i="53"/>
  <c r="F69" i="53"/>
  <c r="G137" i="53"/>
  <c r="E101" i="81"/>
  <c r="F18" i="53"/>
  <c r="F71" i="53"/>
  <c r="G139" i="53"/>
  <c r="E102" i="81"/>
  <c r="F19" i="53"/>
  <c r="F72" i="53"/>
  <c r="G140" i="53"/>
  <c r="E103" i="81"/>
  <c r="F20" i="53"/>
  <c r="F73" i="53"/>
  <c r="G141" i="53"/>
  <c r="E104" i="81"/>
  <c r="F21" i="53"/>
  <c r="F74" i="53"/>
  <c r="G142" i="53"/>
  <c r="E105" i="81"/>
  <c r="F22" i="53"/>
  <c r="F75" i="53"/>
  <c r="G143" i="53"/>
  <c r="E106" i="81"/>
  <c r="F23" i="53"/>
  <c r="F76" i="53"/>
  <c r="G144" i="53"/>
  <c r="E107" i="81"/>
  <c r="F24" i="53"/>
  <c r="F77" i="53"/>
  <c r="G145" i="53"/>
  <c r="E108" i="81"/>
  <c r="F25" i="53"/>
  <c r="F78" i="53"/>
  <c r="G146" i="53"/>
  <c r="E110" i="81"/>
  <c r="F27" i="53"/>
  <c r="F80" i="53"/>
  <c r="G148" i="53"/>
  <c r="E111" i="81"/>
  <c r="F28" i="53"/>
  <c r="F81" i="53"/>
  <c r="G149" i="53"/>
  <c r="E112" i="81"/>
  <c r="F29" i="53"/>
  <c r="F82" i="53"/>
  <c r="G150" i="53"/>
  <c r="E113" i="81"/>
  <c r="F30" i="53"/>
  <c r="F83" i="53"/>
  <c r="G151" i="53"/>
  <c r="F114" i="53"/>
  <c r="G182" i="53"/>
  <c r="F115" i="53"/>
  <c r="G183" i="53"/>
  <c r="F116" i="53"/>
  <c r="G184" i="53"/>
  <c r="F118" i="53"/>
  <c r="G187" i="53"/>
  <c r="F119" i="53"/>
  <c r="G188" i="53"/>
  <c r="G191" i="53"/>
  <c r="H29" i="61"/>
  <c r="E77" i="81"/>
  <c r="E23" i="72"/>
  <c r="E47" i="72"/>
  <c r="E95" i="72"/>
  <c r="G139" i="72"/>
  <c r="E68" i="81"/>
  <c r="E14" i="72"/>
  <c r="E38" i="72"/>
  <c r="E63" i="72"/>
  <c r="G140" i="72"/>
  <c r="E72" i="81"/>
  <c r="E18" i="72"/>
  <c r="E42" i="72"/>
  <c r="E78" i="72"/>
  <c r="G141" i="72"/>
  <c r="E70" i="81"/>
  <c r="E16" i="72"/>
  <c r="E40" i="72"/>
  <c r="E70" i="72"/>
  <c r="G142" i="72"/>
  <c r="G147" i="72"/>
  <c r="E67" i="81"/>
  <c r="E13" i="72"/>
  <c r="E69" i="81"/>
  <c r="E15" i="72"/>
  <c r="E71" i="81"/>
  <c r="E17" i="72"/>
  <c r="E73" i="81"/>
  <c r="E19" i="72"/>
  <c r="E74" i="81"/>
  <c r="E20" i="72"/>
  <c r="E75" i="81"/>
  <c r="E21" i="72"/>
  <c r="E76" i="81"/>
  <c r="E22" i="72"/>
  <c r="E78" i="81"/>
  <c r="E24" i="72"/>
  <c r="E79" i="81"/>
  <c r="E25" i="72"/>
  <c r="E80" i="81"/>
  <c r="E26" i="72"/>
  <c r="E81" i="81"/>
  <c r="E27" i="72"/>
  <c r="E82" i="81"/>
  <c r="E28" i="72"/>
  <c r="E83" i="81"/>
  <c r="E29" i="72"/>
  <c r="E84" i="81"/>
  <c r="E30" i="72"/>
  <c r="E85" i="81"/>
  <c r="E31" i="72"/>
  <c r="E32" i="72"/>
  <c r="E35" i="72"/>
  <c r="G149" i="72"/>
  <c r="G151" i="72"/>
  <c r="H32" i="61"/>
  <c r="H36" i="61"/>
  <c r="E8" i="69"/>
  <c r="F31" i="68"/>
  <c r="F44" i="81"/>
  <c r="F13" i="55"/>
  <c r="F63" i="55"/>
  <c r="F70" i="55"/>
  <c r="F122" i="55"/>
  <c r="H180" i="55"/>
  <c r="F46" i="81"/>
  <c r="F15" i="55"/>
  <c r="F72" i="55"/>
  <c r="F124" i="55"/>
  <c r="H182" i="55"/>
  <c r="F48" i="81"/>
  <c r="F17" i="55"/>
  <c r="F74" i="55"/>
  <c r="F126" i="55"/>
  <c r="H184" i="55"/>
  <c r="F50" i="81"/>
  <c r="F19" i="55"/>
  <c r="F76" i="55"/>
  <c r="F128" i="55"/>
  <c r="H186" i="55"/>
  <c r="F52" i="81"/>
  <c r="F21" i="55"/>
  <c r="F53" i="81"/>
  <c r="F22" i="55"/>
  <c r="F54" i="81"/>
  <c r="F23" i="55"/>
  <c r="F55" i="81"/>
  <c r="F24" i="55"/>
  <c r="F56" i="81"/>
  <c r="F25" i="55"/>
  <c r="F57" i="81"/>
  <c r="F26" i="55"/>
  <c r="F58" i="81"/>
  <c r="F27" i="55"/>
  <c r="F59" i="81"/>
  <c r="F28" i="55"/>
  <c r="F60" i="81"/>
  <c r="F29" i="55"/>
  <c r="F61" i="81"/>
  <c r="F30" i="55"/>
  <c r="F62" i="81"/>
  <c r="F31" i="55"/>
  <c r="F32" i="55"/>
  <c r="F51" i="81"/>
  <c r="F20" i="55"/>
  <c r="F33" i="55"/>
  <c r="F65" i="55"/>
  <c r="H200" i="55"/>
  <c r="F78" i="55"/>
  <c r="F130" i="55"/>
  <c r="H188" i="55"/>
  <c r="F79" i="55"/>
  <c r="F131" i="55"/>
  <c r="H189" i="55"/>
  <c r="F80" i="55"/>
  <c r="F132" i="55"/>
  <c r="H190" i="55"/>
  <c r="F81" i="55"/>
  <c r="F133" i="55"/>
  <c r="H191" i="55"/>
  <c r="F82" i="55"/>
  <c r="F134" i="55"/>
  <c r="H192" i="55"/>
  <c r="F83" i="55"/>
  <c r="F135" i="55"/>
  <c r="H193" i="55"/>
  <c r="F84" i="55"/>
  <c r="F136" i="55"/>
  <c r="H194" i="55"/>
  <c r="F85" i="55"/>
  <c r="F137" i="55"/>
  <c r="H195" i="55"/>
  <c r="F86" i="55"/>
  <c r="F138" i="55"/>
  <c r="H196" i="55"/>
  <c r="F87" i="55"/>
  <c r="F139" i="55"/>
  <c r="H197" i="55"/>
  <c r="F88" i="55"/>
  <c r="F140" i="55"/>
  <c r="H198" i="55"/>
  <c r="F89" i="55"/>
  <c r="F141" i="55"/>
  <c r="H199" i="55"/>
  <c r="F77" i="55"/>
  <c r="F129" i="55"/>
  <c r="H187" i="55"/>
  <c r="F69" i="55"/>
  <c r="F121" i="55"/>
  <c r="H179" i="55"/>
  <c r="F71" i="55"/>
  <c r="F123" i="55"/>
  <c r="H181" i="55"/>
  <c r="F73" i="55"/>
  <c r="F125" i="55"/>
  <c r="H183" i="55"/>
  <c r="F75" i="55"/>
  <c r="F127" i="55"/>
  <c r="H185" i="55"/>
  <c r="F68" i="55"/>
  <c r="F120" i="55"/>
  <c r="H178" i="55"/>
  <c r="H229" i="55"/>
  <c r="I31" i="61"/>
  <c r="F92" i="81"/>
  <c r="G9" i="53"/>
  <c r="G62" i="53"/>
  <c r="H130" i="53"/>
  <c r="F93" i="81"/>
  <c r="G10" i="53"/>
  <c r="G63" i="53"/>
  <c r="H131" i="53"/>
  <c r="F94" i="81"/>
  <c r="G11" i="53"/>
  <c r="G64" i="53"/>
  <c r="H132" i="53"/>
  <c r="F95" i="81"/>
  <c r="G12" i="53"/>
  <c r="G65" i="53"/>
  <c r="H133" i="53"/>
  <c r="F96" i="81"/>
  <c r="G13" i="53"/>
  <c r="G66" i="53"/>
  <c r="H134" i="53"/>
  <c r="F97" i="81"/>
  <c r="G14" i="53"/>
  <c r="G67" i="53"/>
  <c r="H135" i="53"/>
  <c r="F98" i="81"/>
  <c r="G15" i="53"/>
  <c r="G68" i="53"/>
  <c r="H136" i="53"/>
  <c r="F99" i="81"/>
  <c r="G16" i="53"/>
  <c r="G69" i="53"/>
  <c r="H137" i="53"/>
  <c r="F101" i="81"/>
  <c r="G18" i="53"/>
  <c r="G71" i="53"/>
  <c r="H139" i="53"/>
  <c r="F102" i="81"/>
  <c r="G19" i="53"/>
  <c r="G72" i="53"/>
  <c r="H140" i="53"/>
  <c r="F103" i="81"/>
  <c r="G20" i="53"/>
  <c r="G73" i="53"/>
  <c r="H141" i="53"/>
  <c r="F104" i="81"/>
  <c r="G21" i="53"/>
  <c r="G74" i="53"/>
  <c r="H142" i="53"/>
  <c r="F105" i="81"/>
  <c r="G22" i="53"/>
  <c r="G75" i="53"/>
  <c r="H143" i="53"/>
  <c r="F106" i="81"/>
  <c r="G23" i="53"/>
  <c r="G76" i="53"/>
  <c r="H144" i="53"/>
  <c r="F107" i="81"/>
  <c r="G24" i="53"/>
  <c r="G77" i="53"/>
  <c r="H145" i="53"/>
  <c r="F108" i="81"/>
  <c r="G25" i="53"/>
  <c r="G78" i="53"/>
  <c r="H146" i="53"/>
  <c r="F110" i="81"/>
  <c r="G27" i="53"/>
  <c r="G80" i="53"/>
  <c r="H148" i="53"/>
  <c r="F111" i="81"/>
  <c r="G28" i="53"/>
  <c r="G81" i="53"/>
  <c r="H149" i="53"/>
  <c r="F112" i="81"/>
  <c r="G29" i="53"/>
  <c r="G82" i="53"/>
  <c r="H150" i="53"/>
  <c r="F113" i="81"/>
  <c r="G30" i="53"/>
  <c r="G83" i="53"/>
  <c r="H151" i="53"/>
  <c r="G114" i="53"/>
  <c r="H182" i="53"/>
  <c r="G115" i="53"/>
  <c r="H183" i="53"/>
  <c r="G116" i="53"/>
  <c r="H184" i="53"/>
  <c r="G118" i="53"/>
  <c r="H187" i="53"/>
  <c r="G119" i="53"/>
  <c r="H188" i="53"/>
  <c r="H191" i="53"/>
  <c r="I29" i="61"/>
  <c r="F77" i="81"/>
  <c r="F23" i="72"/>
  <c r="F47" i="72"/>
  <c r="F95" i="72"/>
  <c r="H139" i="72"/>
  <c r="F68" i="81"/>
  <c r="F14" i="72"/>
  <c r="F38" i="72"/>
  <c r="F63" i="72"/>
  <c r="H140" i="72"/>
  <c r="F72" i="81"/>
  <c r="F18" i="72"/>
  <c r="F42" i="72"/>
  <c r="F78" i="72"/>
  <c r="H141" i="72"/>
  <c r="F70" i="81"/>
  <c r="F16" i="72"/>
  <c r="F40" i="72"/>
  <c r="F70" i="72"/>
  <c r="H142" i="72"/>
  <c r="H147" i="72"/>
  <c r="F67" i="81"/>
  <c r="F13" i="72"/>
  <c r="F69" i="81"/>
  <c r="F15" i="72"/>
  <c r="F71" i="81"/>
  <c r="F17" i="72"/>
  <c r="F73" i="81"/>
  <c r="F19" i="72"/>
  <c r="F74" i="81"/>
  <c r="F20" i="72"/>
  <c r="F75" i="81"/>
  <c r="F21" i="72"/>
  <c r="F76" i="81"/>
  <c r="F22" i="72"/>
  <c r="F78" i="81"/>
  <c r="F24" i="72"/>
  <c r="F79" i="81"/>
  <c r="F25" i="72"/>
  <c r="F80" i="81"/>
  <c r="F26" i="72"/>
  <c r="F81" i="81"/>
  <c r="F27" i="72"/>
  <c r="F82" i="81"/>
  <c r="F28" i="72"/>
  <c r="F83" i="81"/>
  <c r="F29" i="72"/>
  <c r="F84" i="81"/>
  <c r="F30" i="72"/>
  <c r="F85" i="81"/>
  <c r="F31" i="72"/>
  <c r="F32" i="72"/>
  <c r="F35" i="72"/>
  <c r="H149" i="72"/>
  <c r="H151" i="72"/>
  <c r="I32" i="61"/>
  <c r="I36" i="61"/>
  <c r="F8" i="69"/>
  <c r="G31" i="68"/>
  <c r="G44" i="81"/>
  <c r="G13" i="55"/>
  <c r="G63" i="55"/>
  <c r="G70" i="55"/>
  <c r="G122" i="55"/>
  <c r="I180" i="55"/>
  <c r="G46" i="81"/>
  <c r="G15" i="55"/>
  <c r="G72" i="55"/>
  <c r="G124" i="55"/>
  <c r="I182" i="55"/>
  <c r="G48" i="81"/>
  <c r="G17" i="55"/>
  <c r="G74" i="55"/>
  <c r="G126" i="55"/>
  <c r="I184" i="55"/>
  <c r="G50" i="81"/>
  <c r="G19" i="55"/>
  <c r="G76" i="55"/>
  <c r="G128" i="55"/>
  <c r="I186" i="55"/>
  <c r="G52" i="81"/>
  <c r="G21" i="55"/>
  <c r="G53" i="81"/>
  <c r="G22" i="55"/>
  <c r="G54" i="81"/>
  <c r="G23" i="55"/>
  <c r="G55" i="81"/>
  <c r="G24" i="55"/>
  <c r="G56" i="81"/>
  <c r="G25" i="55"/>
  <c r="G57" i="81"/>
  <c r="G26" i="55"/>
  <c r="G58" i="81"/>
  <c r="G27" i="55"/>
  <c r="G59" i="81"/>
  <c r="G28" i="55"/>
  <c r="G60" i="81"/>
  <c r="G29" i="55"/>
  <c r="G61" i="81"/>
  <c r="G30" i="55"/>
  <c r="G62" i="81"/>
  <c r="G31" i="55"/>
  <c r="G32" i="55"/>
  <c r="G51" i="81"/>
  <c r="G20" i="55"/>
  <c r="G33" i="55"/>
  <c r="G65" i="55"/>
  <c r="I200" i="55"/>
  <c r="G78" i="55"/>
  <c r="G130" i="55"/>
  <c r="I188" i="55"/>
  <c r="G79" i="55"/>
  <c r="G131" i="55"/>
  <c r="I189" i="55"/>
  <c r="G80" i="55"/>
  <c r="G132" i="55"/>
  <c r="I190" i="55"/>
  <c r="G81" i="55"/>
  <c r="G133" i="55"/>
  <c r="I191" i="55"/>
  <c r="G82" i="55"/>
  <c r="G134" i="55"/>
  <c r="I192" i="55"/>
  <c r="G83" i="55"/>
  <c r="G135" i="55"/>
  <c r="I193" i="55"/>
  <c r="G84" i="55"/>
  <c r="G136" i="55"/>
  <c r="I194" i="55"/>
  <c r="G85" i="55"/>
  <c r="G137" i="55"/>
  <c r="I195" i="55"/>
  <c r="G86" i="55"/>
  <c r="G138" i="55"/>
  <c r="I196" i="55"/>
  <c r="G87" i="55"/>
  <c r="G139" i="55"/>
  <c r="I197" i="55"/>
  <c r="G88" i="55"/>
  <c r="G140" i="55"/>
  <c r="I198" i="55"/>
  <c r="G89" i="55"/>
  <c r="G141" i="55"/>
  <c r="I199" i="55"/>
  <c r="G77" i="55"/>
  <c r="G129" i="55"/>
  <c r="I187" i="55"/>
  <c r="G69" i="55"/>
  <c r="G121" i="55"/>
  <c r="I179" i="55"/>
  <c r="G71" i="55"/>
  <c r="G123" i="55"/>
  <c r="I181" i="55"/>
  <c r="G73" i="55"/>
  <c r="G125" i="55"/>
  <c r="I183" i="55"/>
  <c r="G75" i="55"/>
  <c r="G127" i="55"/>
  <c r="I185" i="55"/>
  <c r="G68" i="55"/>
  <c r="G120" i="55"/>
  <c r="I178" i="55"/>
  <c r="I229" i="55"/>
  <c r="J31" i="61"/>
  <c r="G92" i="81"/>
  <c r="H9" i="53"/>
  <c r="H62" i="53"/>
  <c r="I130" i="53"/>
  <c r="G93" i="81"/>
  <c r="H10" i="53"/>
  <c r="H63" i="53"/>
  <c r="I131" i="53"/>
  <c r="G94" i="81"/>
  <c r="H11" i="53"/>
  <c r="H64" i="53"/>
  <c r="I132" i="53"/>
  <c r="G95" i="81"/>
  <c r="H12" i="53"/>
  <c r="H65" i="53"/>
  <c r="I133" i="53"/>
  <c r="G96" i="81"/>
  <c r="H13" i="53"/>
  <c r="H66" i="53"/>
  <c r="I134" i="53"/>
  <c r="G97" i="81"/>
  <c r="H14" i="53"/>
  <c r="H67" i="53"/>
  <c r="I135" i="53"/>
  <c r="G98" i="81"/>
  <c r="H15" i="53"/>
  <c r="H68" i="53"/>
  <c r="I136" i="53"/>
  <c r="G99" i="81"/>
  <c r="H16" i="53"/>
  <c r="H69" i="53"/>
  <c r="I137" i="53"/>
  <c r="G101" i="81"/>
  <c r="H18" i="53"/>
  <c r="H71" i="53"/>
  <c r="I139" i="53"/>
  <c r="G102" i="81"/>
  <c r="H19" i="53"/>
  <c r="H72" i="53"/>
  <c r="I140" i="53"/>
  <c r="G103" i="81"/>
  <c r="H20" i="53"/>
  <c r="H73" i="53"/>
  <c r="I141" i="53"/>
  <c r="G104" i="81"/>
  <c r="H21" i="53"/>
  <c r="H74" i="53"/>
  <c r="I142" i="53"/>
  <c r="G105" i="81"/>
  <c r="H22" i="53"/>
  <c r="H75" i="53"/>
  <c r="I143" i="53"/>
  <c r="G106" i="81"/>
  <c r="H23" i="53"/>
  <c r="H76" i="53"/>
  <c r="I144" i="53"/>
  <c r="G107" i="81"/>
  <c r="H24" i="53"/>
  <c r="H77" i="53"/>
  <c r="I145" i="53"/>
  <c r="G108" i="81"/>
  <c r="H25" i="53"/>
  <c r="H78" i="53"/>
  <c r="I146" i="53"/>
  <c r="G110" i="81"/>
  <c r="H27" i="53"/>
  <c r="H80" i="53"/>
  <c r="I148" i="53"/>
  <c r="G111" i="81"/>
  <c r="H28" i="53"/>
  <c r="H81" i="53"/>
  <c r="I149" i="53"/>
  <c r="G112" i="81"/>
  <c r="H29" i="53"/>
  <c r="H82" i="53"/>
  <c r="I150" i="53"/>
  <c r="G113" i="81"/>
  <c r="H30" i="53"/>
  <c r="H83" i="53"/>
  <c r="I151" i="53"/>
  <c r="H114" i="53"/>
  <c r="I182" i="53"/>
  <c r="H115" i="53"/>
  <c r="I183" i="53"/>
  <c r="H116" i="53"/>
  <c r="I184" i="53"/>
  <c r="H118" i="53"/>
  <c r="I187" i="53"/>
  <c r="H119" i="53"/>
  <c r="I188" i="53"/>
  <c r="I191" i="53"/>
  <c r="J29" i="61"/>
  <c r="G77" i="81"/>
  <c r="G23" i="72"/>
  <c r="G47" i="72"/>
  <c r="G95" i="72"/>
  <c r="I139" i="72"/>
  <c r="G68" i="81"/>
  <c r="G14" i="72"/>
  <c r="G38" i="72"/>
  <c r="G63" i="72"/>
  <c r="I140" i="72"/>
  <c r="G72" i="81"/>
  <c r="G18" i="72"/>
  <c r="G42" i="72"/>
  <c r="G78" i="72"/>
  <c r="I141" i="72"/>
  <c r="G70" i="81"/>
  <c r="G16" i="72"/>
  <c r="G40" i="72"/>
  <c r="G70" i="72"/>
  <c r="I142" i="72"/>
  <c r="I147" i="72"/>
  <c r="G67" i="81"/>
  <c r="G13" i="72"/>
  <c r="G69" i="81"/>
  <c r="G15" i="72"/>
  <c r="G71" i="81"/>
  <c r="G17" i="72"/>
  <c r="G73" i="81"/>
  <c r="G19" i="72"/>
  <c r="G74" i="81"/>
  <c r="G20" i="72"/>
  <c r="G75" i="81"/>
  <c r="G21" i="72"/>
  <c r="G76" i="81"/>
  <c r="G22" i="72"/>
  <c r="G78" i="81"/>
  <c r="G24" i="72"/>
  <c r="G79" i="81"/>
  <c r="G25" i="72"/>
  <c r="G80" i="81"/>
  <c r="G26" i="72"/>
  <c r="G81" i="81"/>
  <c r="G27" i="72"/>
  <c r="G82" i="81"/>
  <c r="G28" i="72"/>
  <c r="G83" i="81"/>
  <c r="G29" i="72"/>
  <c r="G84" i="81"/>
  <c r="G30" i="72"/>
  <c r="G85" i="81"/>
  <c r="G31" i="72"/>
  <c r="G32" i="72"/>
  <c r="G35" i="72"/>
  <c r="I149" i="72"/>
  <c r="I151" i="72"/>
  <c r="J32" i="61"/>
  <c r="J36" i="61"/>
  <c r="G8" i="69"/>
  <c r="H31" i="68"/>
  <c r="H44" i="81"/>
  <c r="H13" i="55"/>
  <c r="H63" i="55"/>
  <c r="H70" i="55"/>
  <c r="H122" i="55"/>
  <c r="J180" i="55"/>
  <c r="H46" i="81"/>
  <c r="H15" i="55"/>
  <c r="H72" i="55"/>
  <c r="H124" i="55"/>
  <c r="J182" i="55"/>
  <c r="H48" i="81"/>
  <c r="H17" i="55"/>
  <c r="H74" i="55"/>
  <c r="H126" i="55"/>
  <c r="J184" i="55"/>
  <c r="H50" i="81"/>
  <c r="H19" i="55"/>
  <c r="H76" i="55"/>
  <c r="H128" i="55"/>
  <c r="J186" i="55"/>
  <c r="H52" i="81"/>
  <c r="H21" i="55"/>
  <c r="H53" i="81"/>
  <c r="H22" i="55"/>
  <c r="H54" i="81"/>
  <c r="H23" i="55"/>
  <c r="H55" i="81"/>
  <c r="H24" i="55"/>
  <c r="H56" i="81"/>
  <c r="H25" i="55"/>
  <c r="H57" i="81"/>
  <c r="H26" i="55"/>
  <c r="H58" i="81"/>
  <c r="H27" i="55"/>
  <c r="H59" i="81"/>
  <c r="H28" i="55"/>
  <c r="H60" i="81"/>
  <c r="H29" i="55"/>
  <c r="H61" i="81"/>
  <c r="H30" i="55"/>
  <c r="H62" i="81"/>
  <c r="H31" i="55"/>
  <c r="H32" i="55"/>
  <c r="H51" i="81"/>
  <c r="H20" i="55"/>
  <c r="H33" i="55"/>
  <c r="H65" i="55"/>
  <c r="J200" i="55"/>
  <c r="H78" i="55"/>
  <c r="H130" i="55"/>
  <c r="J188" i="55"/>
  <c r="H79" i="55"/>
  <c r="H131" i="55"/>
  <c r="J189" i="55"/>
  <c r="H80" i="55"/>
  <c r="H132" i="55"/>
  <c r="J190" i="55"/>
  <c r="H81" i="55"/>
  <c r="H133" i="55"/>
  <c r="J191" i="55"/>
  <c r="H82" i="55"/>
  <c r="H134" i="55"/>
  <c r="J192" i="55"/>
  <c r="H83" i="55"/>
  <c r="H135" i="55"/>
  <c r="J193" i="55"/>
  <c r="H84" i="55"/>
  <c r="H136" i="55"/>
  <c r="J194" i="55"/>
  <c r="H85" i="55"/>
  <c r="H137" i="55"/>
  <c r="J195" i="55"/>
  <c r="H86" i="55"/>
  <c r="H138" i="55"/>
  <c r="J196" i="55"/>
  <c r="H87" i="55"/>
  <c r="H139" i="55"/>
  <c r="J197" i="55"/>
  <c r="H88" i="55"/>
  <c r="H140" i="55"/>
  <c r="J198" i="55"/>
  <c r="H89" i="55"/>
  <c r="H141" i="55"/>
  <c r="J199" i="55"/>
  <c r="H77" i="55"/>
  <c r="H129" i="55"/>
  <c r="J187" i="55"/>
  <c r="H69" i="55"/>
  <c r="H121" i="55"/>
  <c r="J179" i="55"/>
  <c r="H71" i="55"/>
  <c r="H123" i="55"/>
  <c r="J181" i="55"/>
  <c r="H73" i="55"/>
  <c r="H125" i="55"/>
  <c r="J183" i="55"/>
  <c r="H75" i="55"/>
  <c r="H127" i="55"/>
  <c r="J185" i="55"/>
  <c r="H68" i="55"/>
  <c r="H120" i="55"/>
  <c r="J178" i="55"/>
  <c r="J229" i="55"/>
  <c r="K31" i="61"/>
  <c r="H92" i="81"/>
  <c r="I9" i="53"/>
  <c r="I62" i="53"/>
  <c r="J130" i="53"/>
  <c r="H93" i="81"/>
  <c r="I10" i="53"/>
  <c r="I63" i="53"/>
  <c r="J131" i="53"/>
  <c r="H94" i="81"/>
  <c r="I11" i="53"/>
  <c r="I64" i="53"/>
  <c r="J132" i="53"/>
  <c r="H95" i="81"/>
  <c r="I12" i="53"/>
  <c r="I65" i="53"/>
  <c r="J133" i="53"/>
  <c r="H96" i="81"/>
  <c r="I13" i="53"/>
  <c r="I66" i="53"/>
  <c r="J134" i="53"/>
  <c r="H97" i="81"/>
  <c r="I14" i="53"/>
  <c r="I67" i="53"/>
  <c r="J135" i="53"/>
  <c r="H98" i="81"/>
  <c r="I15" i="53"/>
  <c r="I68" i="53"/>
  <c r="J136" i="53"/>
  <c r="H99" i="81"/>
  <c r="I16" i="53"/>
  <c r="I69" i="53"/>
  <c r="J137" i="53"/>
  <c r="H101" i="81"/>
  <c r="I18" i="53"/>
  <c r="I71" i="53"/>
  <c r="J139" i="53"/>
  <c r="H102" i="81"/>
  <c r="I19" i="53"/>
  <c r="I72" i="53"/>
  <c r="J140" i="53"/>
  <c r="H103" i="81"/>
  <c r="I20" i="53"/>
  <c r="I73" i="53"/>
  <c r="J141" i="53"/>
  <c r="H104" i="81"/>
  <c r="I21" i="53"/>
  <c r="I74" i="53"/>
  <c r="J142" i="53"/>
  <c r="H105" i="81"/>
  <c r="I22" i="53"/>
  <c r="I75" i="53"/>
  <c r="J143" i="53"/>
  <c r="H106" i="81"/>
  <c r="I23" i="53"/>
  <c r="I76" i="53"/>
  <c r="J144" i="53"/>
  <c r="H107" i="81"/>
  <c r="I24" i="53"/>
  <c r="I77" i="53"/>
  <c r="J145" i="53"/>
  <c r="H108" i="81"/>
  <c r="I25" i="53"/>
  <c r="I78" i="53"/>
  <c r="J146" i="53"/>
  <c r="H110" i="81"/>
  <c r="I27" i="53"/>
  <c r="I80" i="53"/>
  <c r="J148" i="53"/>
  <c r="H111" i="81"/>
  <c r="I28" i="53"/>
  <c r="I81" i="53"/>
  <c r="J149" i="53"/>
  <c r="H112" i="81"/>
  <c r="I29" i="53"/>
  <c r="I82" i="53"/>
  <c r="J150" i="53"/>
  <c r="H113" i="81"/>
  <c r="I30" i="53"/>
  <c r="I83" i="53"/>
  <c r="J151" i="53"/>
  <c r="I114" i="53"/>
  <c r="J182" i="53"/>
  <c r="I115" i="53"/>
  <c r="J183" i="53"/>
  <c r="I116" i="53"/>
  <c r="J184" i="53"/>
  <c r="I118" i="53"/>
  <c r="J187" i="53"/>
  <c r="I119" i="53"/>
  <c r="J188" i="53"/>
  <c r="J191" i="53"/>
  <c r="K29" i="61"/>
  <c r="H77" i="81"/>
  <c r="H23" i="72"/>
  <c r="H47" i="72"/>
  <c r="H95" i="72"/>
  <c r="J139" i="72"/>
  <c r="H68" i="81"/>
  <c r="H14" i="72"/>
  <c r="H38" i="72"/>
  <c r="H63" i="72"/>
  <c r="J140" i="72"/>
  <c r="H72" i="81"/>
  <c r="H18" i="72"/>
  <c r="H42" i="72"/>
  <c r="H78" i="72"/>
  <c r="J141" i="72"/>
  <c r="H70" i="81"/>
  <c r="H16" i="72"/>
  <c r="H40" i="72"/>
  <c r="H70" i="72"/>
  <c r="J142" i="72"/>
  <c r="J147" i="72"/>
  <c r="H67" i="81"/>
  <c r="H13" i="72"/>
  <c r="H69" i="81"/>
  <c r="H15" i="72"/>
  <c r="H71" i="81"/>
  <c r="H17" i="72"/>
  <c r="H73" i="81"/>
  <c r="H19" i="72"/>
  <c r="H74" i="81"/>
  <c r="H20" i="72"/>
  <c r="H75" i="81"/>
  <c r="H21" i="72"/>
  <c r="H76" i="81"/>
  <c r="H22" i="72"/>
  <c r="H78" i="81"/>
  <c r="H24" i="72"/>
  <c r="H79" i="81"/>
  <c r="H25" i="72"/>
  <c r="H80" i="81"/>
  <c r="H26" i="72"/>
  <c r="H81" i="81"/>
  <c r="H27" i="72"/>
  <c r="H82" i="81"/>
  <c r="H28" i="72"/>
  <c r="H83" i="81"/>
  <c r="H29" i="72"/>
  <c r="H84" i="81"/>
  <c r="H30" i="72"/>
  <c r="H85" i="81"/>
  <c r="H31" i="72"/>
  <c r="H32" i="72"/>
  <c r="H35" i="72"/>
  <c r="J149" i="72"/>
  <c r="J151" i="72"/>
  <c r="K32" i="61"/>
  <c r="K36" i="61"/>
  <c r="H8" i="69"/>
  <c r="I31" i="68"/>
  <c r="D180" i="55"/>
  <c r="D182" i="55"/>
  <c r="D184" i="55"/>
  <c r="D186" i="55"/>
  <c r="B33" i="55"/>
  <c r="B65" i="55"/>
  <c r="D200" i="55"/>
  <c r="D190" i="55"/>
  <c r="D191" i="55"/>
  <c r="D192" i="55"/>
  <c r="D193" i="55"/>
  <c r="D194" i="55"/>
  <c r="D195" i="55"/>
  <c r="D196" i="55"/>
  <c r="D197" i="55"/>
  <c r="D198" i="55"/>
  <c r="D199" i="55"/>
  <c r="D188" i="55"/>
  <c r="D189" i="55"/>
  <c r="D187" i="55"/>
  <c r="D179" i="55"/>
  <c r="D181" i="55"/>
  <c r="D183" i="55"/>
  <c r="D185" i="55"/>
  <c r="D178" i="55"/>
  <c r="D229" i="55"/>
  <c r="E31" i="61"/>
  <c r="D130" i="53"/>
  <c r="D131" i="53"/>
  <c r="D132" i="53"/>
  <c r="D133" i="53"/>
  <c r="D134" i="53"/>
  <c r="D135" i="53"/>
  <c r="D136" i="53"/>
  <c r="D137" i="53"/>
  <c r="D139" i="53"/>
  <c r="D140" i="53"/>
  <c r="D141" i="53"/>
  <c r="D142" i="53"/>
  <c r="D143" i="53"/>
  <c r="D144" i="53"/>
  <c r="D145" i="53"/>
  <c r="D146" i="53"/>
  <c r="D148" i="53"/>
  <c r="D149" i="53"/>
  <c r="D150" i="53"/>
  <c r="D151" i="53"/>
  <c r="D182" i="53"/>
  <c r="D183" i="53"/>
  <c r="D184" i="53"/>
  <c r="D187" i="53"/>
  <c r="D188" i="53"/>
  <c r="D191" i="53"/>
  <c r="E29" i="61"/>
  <c r="D139" i="72"/>
  <c r="D140" i="72"/>
  <c r="D141" i="72"/>
  <c r="D142" i="72"/>
  <c r="D147" i="72"/>
  <c r="B13" i="72"/>
  <c r="B15" i="72"/>
  <c r="B17" i="72"/>
  <c r="B19" i="72"/>
  <c r="B20" i="72"/>
  <c r="B21" i="72"/>
  <c r="B22" i="72"/>
  <c r="B24" i="72"/>
  <c r="B25" i="72"/>
  <c r="B26" i="72"/>
  <c r="B27" i="72"/>
  <c r="B28" i="72"/>
  <c r="B29" i="72"/>
  <c r="B30" i="72"/>
  <c r="B31" i="72"/>
  <c r="B32" i="72"/>
  <c r="B35" i="72"/>
  <c r="D149" i="72"/>
  <c r="D151" i="72"/>
  <c r="E32" i="61"/>
  <c r="E36" i="61"/>
  <c r="B8" i="69"/>
  <c r="D31" i="68"/>
  <c r="C31" i="68"/>
  <c r="H67" i="57"/>
  <c r="G52" i="57"/>
  <c r="G51" i="57"/>
  <c r="G53" i="57"/>
  <c r="G54" i="57"/>
  <c r="G55" i="57"/>
  <c r="G56" i="57"/>
  <c r="B51" i="57"/>
  <c r="B52" i="57"/>
  <c r="B53" i="57"/>
  <c r="B54" i="57"/>
  <c r="B55" i="57"/>
  <c r="B56" i="57"/>
  <c r="B92" i="57"/>
  <c r="B93" i="57"/>
  <c r="B94" i="57"/>
  <c r="B95" i="57"/>
  <c r="B96" i="57"/>
  <c r="B97" i="57"/>
  <c r="B98" i="57"/>
  <c r="B99" i="57"/>
  <c r="F98" i="57"/>
  <c r="F97" i="57"/>
  <c r="F96" i="57"/>
  <c r="F6" i="57"/>
  <c r="G7" i="57"/>
  <c r="F7"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A52" i="81"/>
  <c r="B7" i="81"/>
  <c r="B9" i="81"/>
  <c r="C23" i="81"/>
  <c r="D21" i="81"/>
  <c r="F21" i="81"/>
  <c r="H21" i="81"/>
  <c r="D14" i="81"/>
  <c r="F14" i="81"/>
  <c r="D27" i="42"/>
  <c r="D28" i="42"/>
  <c r="D29" i="42"/>
  <c r="D37" i="42"/>
  <c r="E17" i="42"/>
  <c r="F17" i="42"/>
  <c r="G17" i="42"/>
  <c r="H17" i="42"/>
  <c r="I17" i="42"/>
  <c r="H14" i="81"/>
  <c r="B42" i="81"/>
  <c r="B11" i="55"/>
  <c r="D17" i="81"/>
  <c r="F17" i="81"/>
  <c r="H17" i="81"/>
  <c r="G69" i="57"/>
  <c r="G70" i="57"/>
  <c r="G71" i="57"/>
  <c r="G72" i="57"/>
  <c r="G8" i="57"/>
  <c r="G9" i="57"/>
  <c r="G10" i="57"/>
  <c r="G11" i="57"/>
  <c r="F83" i="57"/>
  <c r="F84" i="57"/>
  <c r="D8" i="62"/>
  <c r="F91" i="57"/>
  <c r="F92" i="57"/>
  <c r="F93" i="57"/>
  <c r="F94" i="57"/>
  <c r="F95" i="57"/>
  <c r="F99" i="57"/>
  <c r="F108" i="57"/>
  <c r="F109" i="57"/>
  <c r="F110" i="57"/>
  <c r="B34" i="72"/>
  <c r="B10" i="42"/>
  <c r="D21" i="42"/>
  <c r="D23" i="42"/>
  <c r="B7" i="83"/>
  <c r="B9" i="83"/>
  <c r="C72" i="83"/>
  <c r="D72" i="83"/>
  <c r="E72" i="83"/>
  <c r="F72" i="83"/>
  <c r="G72" i="83"/>
  <c r="H72" i="83"/>
  <c r="B41" i="84"/>
  <c r="E149" i="84"/>
  <c r="F149" i="84"/>
  <c r="G149" i="84"/>
  <c r="H149" i="84"/>
  <c r="I149" i="84"/>
  <c r="J149" i="84"/>
  <c r="K12" i="83"/>
  <c r="L12" i="83"/>
  <c r="M12" i="83"/>
  <c r="N12" i="83"/>
  <c r="H31" i="84"/>
  <c r="H32" i="84"/>
  <c r="H33" i="84"/>
  <c r="D40" i="83"/>
  <c r="F40" i="83"/>
  <c r="H40" i="83"/>
  <c r="B98" i="83"/>
  <c r="C98" i="83"/>
  <c r="D98" i="83"/>
  <c r="H73" i="57"/>
  <c r="B166" i="84"/>
  <c r="V10" i="61"/>
  <c r="J180" i="84"/>
  <c r="I180" i="84"/>
  <c r="I185" i="84"/>
  <c r="I181" i="84"/>
  <c r="H180" i="84"/>
  <c r="H181" i="84"/>
  <c r="H185" i="84"/>
  <c r="G180" i="84"/>
  <c r="G181" i="84"/>
  <c r="G185" i="84"/>
  <c r="F180" i="84"/>
  <c r="F181" i="84"/>
  <c r="F185" i="84"/>
  <c r="C74" i="83"/>
  <c r="C13" i="84"/>
  <c r="C37" i="84"/>
  <c r="E180" i="84"/>
  <c r="E181" i="84"/>
  <c r="E185" i="84"/>
  <c r="B37" i="84"/>
  <c r="D180" i="84"/>
  <c r="D185" i="84"/>
  <c r="D181"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C65" i="84"/>
  <c r="B65" i="84"/>
  <c r="E40" i="84"/>
  <c r="F40" i="84"/>
  <c r="F41" i="84"/>
  <c r="G40" i="84"/>
  <c r="H40" i="84"/>
  <c r="H41" i="84"/>
  <c r="G41" i="84"/>
  <c r="E41" i="84"/>
  <c r="D41" i="84"/>
  <c r="C41" i="84"/>
  <c r="C44" i="84"/>
  <c r="A66" i="83"/>
  <c r="A94" i="83"/>
  <c r="A33" i="84"/>
  <c r="A65" i="83"/>
  <c r="A93" i="83"/>
  <c r="A32" i="84"/>
  <c r="A64" i="83"/>
  <c r="A92" i="83"/>
  <c r="A31" i="84"/>
  <c r="E124" i="53"/>
  <c r="F124" i="53"/>
  <c r="G124" i="53"/>
  <c r="H124" i="53"/>
  <c r="I124" i="53"/>
  <c r="I31" i="53"/>
  <c r="I84" i="53"/>
  <c r="H31" i="53"/>
  <c r="H84" i="53"/>
  <c r="C100" i="83"/>
  <c r="D100" i="83"/>
  <c r="E100" i="83"/>
  <c r="F100" i="83"/>
  <c r="G100" i="83"/>
  <c r="H100" i="83"/>
  <c r="B126" i="83"/>
  <c r="C126" i="83"/>
  <c r="I214" i="53"/>
  <c r="I219" i="53"/>
  <c r="I243" i="53"/>
  <c r="H201" i="53"/>
  <c r="G31" i="53"/>
  <c r="G84" i="53"/>
  <c r="H152" i="53"/>
  <c r="H204" i="53"/>
  <c r="H205" i="53"/>
  <c r="H214" i="53"/>
  <c r="H243" i="53"/>
  <c r="I265" i="53"/>
  <c r="I266" i="53"/>
  <c r="I273" i="53"/>
  <c r="I267" i="53"/>
  <c r="I268" i="53"/>
  <c r="G199" i="53"/>
  <c r="G203" i="53"/>
  <c r="G204" i="53"/>
  <c r="F31" i="53"/>
  <c r="F84" i="53"/>
  <c r="G219" i="53"/>
  <c r="G201" i="53"/>
  <c r="G205" i="53"/>
  <c r="G214" i="53"/>
  <c r="G218" i="53"/>
  <c r="G243" i="53"/>
  <c r="H265" i="53"/>
  <c r="H266" i="53"/>
  <c r="H273" i="53"/>
  <c r="H267" i="53"/>
  <c r="H268" i="53"/>
  <c r="F201" i="53"/>
  <c r="E31" i="53"/>
  <c r="E84" i="53"/>
  <c r="G152" i="53"/>
  <c r="F199" i="53"/>
  <c r="F203" i="53"/>
  <c r="F204" i="53"/>
  <c r="F205" i="53"/>
  <c r="F214" i="53"/>
  <c r="F219" i="53"/>
  <c r="F243" i="53"/>
  <c r="G265" i="53"/>
  <c r="G266" i="53"/>
  <c r="G273" i="53"/>
  <c r="G267" i="53"/>
  <c r="G268" i="53"/>
  <c r="E200" i="53"/>
  <c r="E203" i="53"/>
  <c r="D31" i="53"/>
  <c r="D84" i="53"/>
  <c r="D57" i="53"/>
  <c r="D110" i="53"/>
  <c r="E197" i="53"/>
  <c r="E204" i="53"/>
  <c r="E205" i="53"/>
  <c r="E214" i="53"/>
  <c r="E242" i="53"/>
  <c r="E243" i="53"/>
  <c r="F265" i="53"/>
  <c r="F266" i="53"/>
  <c r="F267" i="53"/>
  <c r="F268" i="53"/>
  <c r="F273" i="53"/>
  <c r="D201" i="53"/>
  <c r="C31" i="53"/>
  <c r="C84" i="53"/>
  <c r="E152" i="53"/>
  <c r="C57" i="53"/>
  <c r="C110" i="53"/>
  <c r="D200" i="53"/>
  <c r="D203" i="53"/>
  <c r="D205" i="53"/>
  <c r="D214" i="53"/>
  <c r="D218" i="53"/>
  <c r="D219" i="53"/>
  <c r="D243" i="53"/>
  <c r="E265" i="53"/>
  <c r="E266" i="53"/>
  <c r="E273" i="53"/>
  <c r="E267" i="53"/>
  <c r="E268" i="53"/>
  <c r="D152" i="53"/>
  <c r="D265" i="53"/>
  <c r="D266" i="53"/>
  <c r="D267" i="53"/>
  <c r="D268" i="53"/>
  <c r="D273"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26" i="53"/>
  <c r="A147" i="53"/>
  <c r="A214" i="53"/>
  <c r="A58" i="81"/>
  <c r="A83" i="81"/>
  <c r="A108" i="81"/>
  <c r="A25" i="53"/>
  <c r="A146" i="53"/>
  <c r="A213" i="53"/>
  <c r="A57" i="81"/>
  <c r="A82" i="81"/>
  <c r="A107" i="81"/>
  <c r="A24" i="53"/>
  <c r="A56" i="81"/>
  <c r="A81" i="81"/>
  <c r="A106" i="81"/>
  <c r="A23" i="53"/>
  <c r="A55" i="81"/>
  <c r="A80" i="81"/>
  <c r="A105" i="81"/>
  <c r="A22" i="53"/>
  <c r="A143" i="53"/>
  <c r="A210" i="53"/>
  <c r="A54" i="81"/>
  <c r="A79" i="81"/>
  <c r="A104" i="81"/>
  <c r="A21" i="53"/>
  <c r="A142" i="53"/>
  <c r="A209" i="53"/>
  <c r="A53" i="81"/>
  <c r="A78" i="81"/>
  <c r="A103" i="81"/>
  <c r="A20" i="53"/>
  <c r="A73" i="53"/>
  <c r="A141" i="53"/>
  <c r="A208" i="53"/>
  <c r="A77" i="81"/>
  <c r="A102" i="81"/>
  <c r="A19" i="53"/>
  <c r="A140" i="53"/>
  <c r="A207" i="53"/>
  <c r="A51" i="81"/>
  <c r="A76" i="81"/>
  <c r="A101" i="81"/>
  <c r="A18" i="53"/>
  <c r="A138" i="53"/>
  <c r="A205" i="53"/>
  <c r="A49" i="81"/>
  <c r="A74" i="81"/>
  <c r="A99" i="81"/>
  <c r="A16" i="53"/>
  <c r="A69" i="53"/>
  <c r="A137" i="53"/>
  <c r="A204" i="53"/>
  <c r="A48" i="81"/>
  <c r="A73" i="81"/>
  <c r="A98" i="81"/>
  <c r="A15" i="53"/>
  <c r="A47" i="81"/>
  <c r="A72" i="81"/>
  <c r="A97" i="81"/>
  <c r="A14" i="53"/>
  <c r="A135" i="53"/>
  <c r="A202" i="53"/>
  <c r="A46" i="81"/>
  <c r="A71" i="81"/>
  <c r="A96" i="81"/>
  <c r="A13" i="53"/>
  <c r="A45" i="81"/>
  <c r="A70" i="81"/>
  <c r="A95" i="81"/>
  <c r="A12" i="53"/>
  <c r="A133" i="53"/>
  <c r="A200" i="53"/>
  <c r="A44" i="81"/>
  <c r="A69" i="81"/>
  <c r="A94" i="81"/>
  <c r="A11" i="53"/>
  <c r="A43" i="81"/>
  <c r="A68" i="81"/>
  <c r="A93" i="81"/>
  <c r="A10" i="53"/>
  <c r="A131" i="53"/>
  <c r="A198" i="53"/>
  <c r="A42" i="81"/>
  <c r="A67" i="81"/>
  <c r="A92" i="81"/>
  <c r="A9" i="53"/>
  <c r="A195" i="53"/>
  <c r="A122" i="83"/>
  <c r="A53" i="53"/>
  <c r="A174" i="53"/>
  <c r="A121" i="83"/>
  <c r="A52" i="53"/>
  <c r="A105" i="53"/>
  <c r="A173" i="53"/>
  <c r="A120" i="83"/>
  <c r="A51" i="53"/>
  <c r="A129" i="53"/>
  <c r="A110" i="53"/>
  <c r="A109" i="53"/>
  <c r="A108" i="53"/>
  <c r="A107" i="53"/>
  <c r="A106" i="53"/>
  <c r="A103" i="53"/>
  <c r="A102" i="53"/>
  <c r="A101" i="53"/>
  <c r="A100" i="53"/>
  <c r="A99" i="53"/>
  <c r="A98" i="53"/>
  <c r="A97" i="53"/>
  <c r="A96" i="53"/>
  <c r="A95" i="53"/>
  <c r="A94" i="53"/>
  <c r="A92" i="53"/>
  <c r="A91" i="53"/>
  <c r="A90" i="53"/>
  <c r="A88" i="53"/>
  <c r="A87" i="53"/>
  <c r="A86" i="53"/>
  <c r="A85" i="53"/>
  <c r="A84" i="53"/>
  <c r="A83" i="53"/>
  <c r="A82" i="53"/>
  <c r="A81" i="53"/>
  <c r="A79" i="53"/>
  <c r="A78" i="53"/>
  <c r="A75" i="53"/>
  <c r="A74" i="53"/>
  <c r="A72" i="53"/>
  <c r="A70" i="53"/>
  <c r="A61" i="53"/>
  <c r="F8" i="48"/>
  <c r="H8" i="48"/>
  <c r="C28" i="48"/>
  <c r="D28" i="48"/>
  <c r="F23" i="48"/>
  <c r="G23" i="48"/>
  <c r="G52" i="48"/>
  <c r="G56" i="48"/>
  <c r="H23" i="48"/>
  <c r="I23" i="48"/>
  <c r="F9" i="48"/>
  <c r="H9" i="48"/>
  <c r="J9" i="48"/>
  <c r="C29" i="48"/>
  <c r="D29" i="48"/>
  <c r="F29" i="48"/>
  <c r="F10" i="48"/>
  <c r="H10" i="48"/>
  <c r="J10" i="48"/>
  <c r="C30" i="48"/>
  <c r="H30" i="48"/>
  <c r="D30" i="48"/>
  <c r="F11" i="48"/>
  <c r="H11" i="48"/>
  <c r="C31" i="48"/>
  <c r="D31" i="48"/>
  <c r="F12" i="48"/>
  <c r="H12" i="48"/>
  <c r="D32" i="48"/>
  <c r="C33" i="48"/>
  <c r="D33" i="48"/>
  <c r="I33" i="48"/>
  <c r="C34" i="48"/>
  <c r="H34" i="48"/>
  <c r="D34" i="48"/>
  <c r="C35" i="48"/>
  <c r="D35" i="48"/>
  <c r="I35" i="48"/>
  <c r="C36" i="48"/>
  <c r="D36" i="48"/>
  <c r="G36" i="48"/>
  <c r="C37" i="48"/>
  <c r="D37" i="48"/>
  <c r="I37" i="48"/>
  <c r="C38" i="48"/>
  <c r="H38" i="48"/>
  <c r="D38" i="48"/>
  <c r="J8" i="48"/>
  <c r="J13" i="48"/>
  <c r="J14" i="48"/>
  <c r="J15" i="48"/>
  <c r="J16" i="48"/>
  <c r="J17" i="48"/>
  <c r="M8" i="48"/>
  <c r="C44" i="48"/>
  <c r="M9" i="48"/>
  <c r="M10" i="48"/>
  <c r="M11" i="48"/>
  <c r="M12" i="48"/>
  <c r="M13" i="48"/>
  <c r="M14" i="48"/>
  <c r="M15" i="48"/>
  <c r="M16" i="48"/>
  <c r="M17" i="48"/>
  <c r="H29" i="48"/>
  <c r="H33" i="48"/>
  <c r="H37" i="48"/>
  <c r="G30" i="48"/>
  <c r="G33" i="48"/>
  <c r="G34" i="48"/>
  <c r="G37" i="48"/>
  <c r="G38" i="48"/>
  <c r="F31" i="48"/>
  <c r="F33" i="48"/>
  <c r="F35" i="48"/>
  <c r="F37" i="48"/>
  <c r="F52" i="48"/>
  <c r="F56" i="48"/>
  <c r="E28" i="48"/>
  <c r="E36" i="48"/>
  <c r="E52" i="48"/>
  <c r="E56" i="48"/>
  <c r="A32" i="48"/>
  <c r="A31" i="48"/>
  <c r="A30" i="48"/>
  <c r="A29" i="48"/>
  <c r="A28" i="48"/>
  <c r="F17" i="48"/>
  <c r="F16" i="48"/>
  <c r="F15" i="48"/>
  <c r="F14" i="48"/>
  <c r="F13" i="48"/>
  <c r="C9" i="42"/>
  <c r="D9" i="42"/>
  <c r="E9" i="42"/>
  <c r="E10" i="42"/>
  <c r="G21" i="42"/>
  <c r="G23" i="42"/>
  <c r="F9" i="42"/>
  <c r="I27" i="42"/>
  <c r="I28" i="42"/>
  <c r="I29" i="42"/>
  <c r="I37" i="42"/>
  <c r="H27" i="42"/>
  <c r="H28" i="42"/>
  <c r="H29" i="42"/>
  <c r="H37" i="42"/>
  <c r="G27" i="42"/>
  <c r="G28" i="42"/>
  <c r="G29" i="42"/>
  <c r="G37" i="42"/>
  <c r="D10" i="42"/>
  <c r="F21" i="42"/>
  <c r="F23" i="42"/>
  <c r="F27" i="42"/>
  <c r="F28" i="42"/>
  <c r="F29" i="42"/>
  <c r="F37" i="42"/>
  <c r="C10" i="42"/>
  <c r="E21" i="42"/>
  <c r="E23" i="42"/>
  <c r="E27" i="42"/>
  <c r="E34" i="42"/>
  <c r="E28" i="42"/>
  <c r="E29" i="42"/>
  <c r="E37" i="42"/>
  <c r="E133" i="72"/>
  <c r="F133" i="72"/>
  <c r="G133" i="72"/>
  <c r="H133" i="72"/>
  <c r="I133" i="72"/>
  <c r="J133" i="72"/>
  <c r="C33" i="72"/>
  <c r="D33" i="72"/>
  <c r="E33" i="72"/>
  <c r="H47" i="57"/>
  <c r="B161" i="72"/>
  <c r="D34" i="72"/>
  <c r="C34"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A75" i="81"/>
  <c r="A21" i="72"/>
  <c r="A45" i="72"/>
  <c r="A87" i="72"/>
  <c r="A20" i="72"/>
  <c r="A44" i="72"/>
  <c r="A83" i="72"/>
  <c r="A19" i="72"/>
  <c r="A43" i="72"/>
  <c r="A80" i="72"/>
  <c r="A18" i="72"/>
  <c r="A42" i="72"/>
  <c r="A77" i="72"/>
  <c r="A17" i="72"/>
  <c r="A41" i="72"/>
  <c r="A72" i="72"/>
  <c r="A16" i="72"/>
  <c r="A40" i="72"/>
  <c r="A69" i="72"/>
  <c r="A15" i="72"/>
  <c r="A39" i="72"/>
  <c r="A65" i="72"/>
  <c r="A14" i="72"/>
  <c r="A38" i="72"/>
  <c r="A62" i="72"/>
  <c r="A13" i="72"/>
  <c r="A37" i="72"/>
  <c r="A58" i="72"/>
  <c r="C46" i="72"/>
  <c r="B46" i="72"/>
  <c r="B45" i="72"/>
  <c r="D43" i="72"/>
  <c r="C43" i="72"/>
  <c r="B43" i="72"/>
  <c r="D41" i="72"/>
  <c r="C41" i="72"/>
  <c r="B41" i="72"/>
  <c r="D39" i="72"/>
  <c r="C39" i="72"/>
  <c r="B39" i="72"/>
  <c r="D37" i="72"/>
  <c r="C37" i="72"/>
  <c r="B37" i="72"/>
  <c r="C40" i="81"/>
  <c r="D40" i="81"/>
  <c r="C42" i="81"/>
  <c r="E172" i="55"/>
  <c r="F172" i="55"/>
  <c r="C44" i="83"/>
  <c r="D44" i="83"/>
  <c r="E44" i="83"/>
  <c r="H162" i="55"/>
  <c r="G162" i="55"/>
  <c r="H163" i="55"/>
  <c r="G163" i="55"/>
  <c r="H164" i="55"/>
  <c r="G164" i="55"/>
  <c r="B70" i="83"/>
  <c r="C70" i="83"/>
  <c r="D70" i="83"/>
  <c r="C257" i="55"/>
  <c r="C258" i="55"/>
  <c r="C260" i="55"/>
  <c r="C261" i="55"/>
  <c r="F162" i="55"/>
  <c r="F163" i="55"/>
  <c r="F164" i="55"/>
  <c r="E162" i="55"/>
  <c r="E163" i="55"/>
  <c r="E164" i="55"/>
  <c r="F254" i="55"/>
  <c r="D162" i="55"/>
  <c r="F221" i="55"/>
  <c r="D163" i="55"/>
  <c r="D164" i="55"/>
  <c r="F223" i="55"/>
  <c r="D59" i="55"/>
  <c r="D116" i="55"/>
  <c r="F241" i="55"/>
  <c r="F255" i="55"/>
  <c r="F279" i="55"/>
  <c r="F280" i="55"/>
  <c r="C11" i="55"/>
  <c r="C162" i="55"/>
  <c r="C163" i="55"/>
  <c r="C164" i="55"/>
  <c r="C59" i="55"/>
  <c r="C116" i="55"/>
  <c r="E233" i="55"/>
  <c r="E255" i="55"/>
  <c r="E279" i="55"/>
  <c r="E280" i="55"/>
  <c r="F294" i="55"/>
  <c r="D254" i="55"/>
  <c r="B162" i="55"/>
  <c r="E221" i="55"/>
  <c r="B163" i="55"/>
  <c r="B164" i="55"/>
  <c r="D223" i="55"/>
  <c r="E223" i="55"/>
  <c r="B59" i="55"/>
  <c r="B116" i="55"/>
  <c r="B168" i="55"/>
  <c r="D227" i="55"/>
  <c r="D235" i="55"/>
  <c r="D239" i="55"/>
  <c r="D255" i="55"/>
  <c r="D278" i="55"/>
  <c r="D279" i="55"/>
  <c r="D280" i="55"/>
  <c r="E294" i="55"/>
  <c r="D221" i="55"/>
  <c r="D222" i="55"/>
  <c r="D294"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V12" i="83"/>
  <c r="W12" i="83"/>
  <c r="X12" i="83"/>
  <c r="P12" i="83"/>
  <c r="Q12" i="83"/>
  <c r="R12" i="83"/>
  <c r="S12" i="83"/>
  <c r="T12" i="83"/>
  <c r="B100" i="81"/>
  <c r="C100" i="81"/>
  <c r="D100" i="81"/>
  <c r="E100" i="81"/>
  <c r="F100" i="81"/>
  <c r="G100" i="81"/>
  <c r="H100" i="81"/>
  <c r="A100" i="81"/>
  <c r="K12" i="81"/>
  <c r="K14" i="81"/>
  <c r="L12" i="81"/>
  <c r="M12" i="81"/>
  <c r="L14" i="81"/>
  <c r="J14" i="81"/>
  <c r="V12" i="81"/>
  <c r="W12" i="81"/>
  <c r="X12" i="81"/>
  <c r="P12" i="81"/>
  <c r="Q12" i="81"/>
  <c r="R12" i="81"/>
  <c r="S12" i="81"/>
  <c r="T12" i="81"/>
  <c r="I173" i="29"/>
  <c r="F4" i="22"/>
  <c r="F11" i="22"/>
  <c r="H173" i="29"/>
  <c r="G30" i="21"/>
  <c r="G31" i="21"/>
  <c r="G173" i="29"/>
  <c r="F30" i="21"/>
  <c r="F31" i="21"/>
  <c r="F173" i="29"/>
  <c r="E30" i="21"/>
  <c r="E31" i="21"/>
  <c r="E173" i="29"/>
  <c r="D29" i="21"/>
  <c r="D30" i="21"/>
  <c r="D31" i="21"/>
  <c r="D173" i="29"/>
  <c r="C29" i="21"/>
  <c r="C30" i="21"/>
  <c r="C31" i="21"/>
  <c r="F8" i="22"/>
  <c r="F9" i="22"/>
  <c r="F10" i="22"/>
  <c r="F12" i="22"/>
  <c r="F13" i="22"/>
  <c r="F14" i="22"/>
  <c r="F16" i="22"/>
  <c r="F17" i="22"/>
  <c r="F18" i="22"/>
  <c r="F20" i="22"/>
  <c r="F21" i="22"/>
  <c r="F22" i="22"/>
  <c r="C173" i="29"/>
  <c r="B29" i="21"/>
  <c r="B30" i="21"/>
  <c r="B31" i="21"/>
  <c r="E8" i="22"/>
  <c r="E23" i="22"/>
  <c r="B33" i="21"/>
  <c r="E9" i="22"/>
  <c r="E10" i="22"/>
  <c r="E11" i="22"/>
  <c r="E12" i="22"/>
  <c r="E13" i="22"/>
  <c r="E14" i="22"/>
  <c r="E15" i="22"/>
  <c r="E16" i="22"/>
  <c r="E17" i="22"/>
  <c r="E18" i="22"/>
  <c r="E19" i="22"/>
  <c r="E20" i="22"/>
  <c r="E21" i="22"/>
  <c r="E22" i="22"/>
  <c r="B128" i="29"/>
  <c r="B143" i="29"/>
  <c r="B158" i="29"/>
  <c r="B173" i="29"/>
  <c r="B127" i="29"/>
  <c r="B142" i="29"/>
  <c r="B157" i="29"/>
  <c r="B172" i="29"/>
  <c r="B126" i="29"/>
  <c r="B141" i="29"/>
  <c r="B156" i="29"/>
  <c r="B171" i="29"/>
  <c r="B125" i="29"/>
  <c r="B140" i="29"/>
  <c r="B155" i="29"/>
  <c r="B170" i="29"/>
  <c r="B124" i="29"/>
  <c r="B139" i="29"/>
  <c r="B154" i="29"/>
  <c r="B169" i="29"/>
  <c r="B123" i="29"/>
  <c r="B138" i="29"/>
  <c r="B153" i="29"/>
  <c r="B168" i="29"/>
  <c r="B122" i="29"/>
  <c r="B137" i="29"/>
  <c r="B152" i="29"/>
  <c r="B167" i="29"/>
  <c r="I158" i="29"/>
  <c r="H158" i="29"/>
  <c r="G158" i="29"/>
  <c r="F158" i="29"/>
  <c r="E158" i="29"/>
  <c r="D158" i="29"/>
  <c r="C158" i="29"/>
  <c r="I143" i="29"/>
  <c r="H143" i="29"/>
  <c r="G143" i="29"/>
  <c r="F143" i="29"/>
  <c r="E143" i="29"/>
  <c r="D143" i="29"/>
  <c r="C143" i="29"/>
  <c r="I128" i="29"/>
  <c r="H128" i="29"/>
  <c r="G128" i="29"/>
  <c r="F128" i="29"/>
  <c r="E128" i="29"/>
  <c r="D128" i="29"/>
  <c r="C128" i="29"/>
  <c r="D123" i="57"/>
  <c r="D11" i="62"/>
  <c r="C86" i="22"/>
  <c r="G41" i="21"/>
  <c r="I97" i="29"/>
  <c r="H41" i="21"/>
  <c r="F46" i="61"/>
  <c r="H33" i="61"/>
  <c r="J97" i="29"/>
  <c r="B98" i="29"/>
  <c r="B97" i="29"/>
  <c r="B96" i="29"/>
  <c r="B95" i="29"/>
  <c r="C65" i="29"/>
  <c r="D65" i="29"/>
  <c r="E65" i="29"/>
  <c r="F65" i="29"/>
  <c r="G65" i="29"/>
  <c r="H65" i="29"/>
  <c r="I65" i="29"/>
  <c r="B37" i="29"/>
  <c r="B36" i="29"/>
  <c r="B35" i="29"/>
  <c r="B34" i="29"/>
  <c r="B33" i="29"/>
  <c r="B32" i="29"/>
  <c r="I12" i="29"/>
  <c r="J12" i="29"/>
  <c r="B17" i="68"/>
  <c r="B16" i="68"/>
  <c r="B9" i="68"/>
  <c r="H27" i="69"/>
  <c r="A21" i="21"/>
  <c r="A31" i="21"/>
  <c r="A20" i="21"/>
  <c r="A30" i="21"/>
  <c r="A19" i="21"/>
  <c r="A29" i="21"/>
  <c r="A18" i="21"/>
  <c r="A28" i="21"/>
  <c r="A17" i="21"/>
  <c r="A27" i="21"/>
  <c r="A16" i="21"/>
  <c r="A26" i="21"/>
  <c r="C47" i="61"/>
  <c r="C46" i="61"/>
  <c r="C45" i="61"/>
  <c r="C44" i="61"/>
  <c r="C43" i="61"/>
  <c r="C42" i="61"/>
  <c r="C16" i="61"/>
  <c r="V7" i="61"/>
  <c r="V8" i="61"/>
  <c r="V9" i="61"/>
  <c r="V11" i="61"/>
  <c r="V12" i="61"/>
  <c r="R7" i="61"/>
  <c r="O8" i="61"/>
  <c r="P8" i="61"/>
  <c r="Q8" i="61"/>
  <c r="R8" i="61"/>
  <c r="O9" i="61"/>
  <c r="P9" i="61"/>
  <c r="Q9" i="61"/>
  <c r="R9" i="61"/>
  <c r="O11" i="61"/>
  <c r="P11" i="61"/>
  <c r="Q11" i="61"/>
  <c r="R11" i="61"/>
  <c r="O12" i="61"/>
  <c r="P12" i="61"/>
  <c r="Q12" i="61"/>
  <c r="R12" i="61"/>
  <c r="Q7" i="61"/>
  <c r="P7" i="61"/>
  <c r="O7" i="61"/>
  <c r="C15" i="61"/>
  <c r="C14" i="61"/>
  <c r="U12" i="61"/>
  <c r="N12" i="61"/>
  <c r="U11" i="61"/>
  <c r="N11" i="61"/>
  <c r="U10" i="61"/>
  <c r="N10" i="61"/>
  <c r="U9" i="61"/>
  <c r="N9" i="61"/>
  <c r="U8" i="61"/>
  <c r="N8" i="61"/>
  <c r="C8" i="61"/>
  <c r="I87" i="22"/>
  <c r="H87" i="22"/>
  <c r="A64" i="22"/>
  <c r="A63" i="22"/>
  <c r="A62" i="22"/>
  <c r="A61" i="22"/>
  <c r="H32" i="57"/>
  <c r="M16" i="62"/>
  <c r="M18" i="62"/>
  <c r="C11" i="62"/>
  <c r="C10" i="62"/>
  <c r="C9" i="62"/>
  <c r="C8" i="62"/>
  <c r="C7" i="62"/>
  <c r="C6" i="62"/>
  <c r="H61" i="29"/>
  <c r="F57" i="57"/>
  <c r="G57" i="57"/>
  <c r="C45" i="72"/>
  <c r="E235" i="55"/>
  <c r="N12" i="81"/>
  <c r="N14" i="81"/>
  <c r="M14" i="81"/>
  <c r="C168" i="55"/>
  <c r="E227" i="55"/>
  <c r="E278" i="55"/>
  <c r="F222" i="55"/>
  <c r="E222" i="55"/>
  <c r="E254" i="55"/>
  <c r="D168" i="55"/>
  <c r="F227" i="55"/>
  <c r="F278" i="55"/>
  <c r="V15" i="61"/>
  <c r="I61" i="29"/>
  <c r="D241" i="55"/>
  <c r="F44" i="83"/>
  <c r="G44" i="83"/>
  <c r="H44" i="83"/>
  <c r="E70" i="83"/>
  <c r="G4" i="22"/>
  <c r="D237" i="55"/>
  <c r="E241" i="55"/>
  <c r="F19" i="22"/>
  <c r="F15" i="22"/>
  <c r="F23" i="22"/>
  <c r="C33" i="21"/>
  <c r="G221" i="55"/>
  <c r="D42" i="81"/>
  <c r="E40" i="81"/>
  <c r="E41" i="72"/>
  <c r="D46" i="72"/>
  <c r="E39" i="72"/>
  <c r="G172" i="55"/>
  <c r="G223" i="55"/>
  <c r="A64" i="53"/>
  <c r="A132" i="53"/>
  <c r="A199" i="53"/>
  <c r="A148" i="53"/>
  <c r="A215" i="53"/>
  <c r="A80" i="53"/>
  <c r="F33" i="72"/>
  <c r="E34" i="72"/>
  <c r="G9" i="42"/>
  <c r="F10" i="42"/>
  <c r="H21" i="42"/>
  <c r="H23" i="42"/>
  <c r="I33" i="61"/>
  <c r="I44" i="48"/>
  <c r="E44" i="48"/>
  <c r="F44" i="48"/>
  <c r="G44" i="48"/>
  <c r="H44" i="48"/>
  <c r="J36" i="48"/>
  <c r="C32" i="48"/>
  <c r="J12" i="48"/>
  <c r="J23" i="48"/>
  <c r="J31" i="48"/>
  <c r="I52" i="48"/>
  <c r="I56" i="48"/>
  <c r="F29" i="21"/>
  <c r="I28" i="48"/>
  <c r="I36" i="48"/>
  <c r="J28" i="48"/>
  <c r="A77" i="53"/>
  <c r="A145" i="53"/>
  <c r="A212" i="53"/>
  <c r="A172" i="53"/>
  <c r="A104" i="53"/>
  <c r="A130" i="53"/>
  <c r="A197" i="53"/>
  <c r="A62" i="53"/>
  <c r="A134" i="53"/>
  <c r="A201" i="53"/>
  <c r="A66" i="53"/>
  <c r="G31" i="48"/>
  <c r="H31" i="48"/>
  <c r="I31" i="48"/>
  <c r="E31" i="48"/>
  <c r="A136" i="53"/>
  <c r="A203" i="53"/>
  <c r="A68" i="53"/>
  <c r="A139" i="53"/>
  <c r="A206" i="53"/>
  <c r="A71" i="53"/>
  <c r="A144" i="53"/>
  <c r="A211" i="53"/>
  <c r="A76" i="53"/>
  <c r="D204" i="53"/>
  <c r="E199" i="53"/>
  <c r="G34" i="42"/>
  <c r="H46" i="61"/>
  <c r="E35" i="48"/>
  <c r="F38" i="48"/>
  <c r="F34" i="48"/>
  <c r="F30" i="48"/>
  <c r="G29" i="48"/>
  <c r="H36" i="48"/>
  <c r="H28" i="48"/>
  <c r="J38" i="48"/>
  <c r="J34" i="48"/>
  <c r="J30" i="48"/>
  <c r="J11" i="48"/>
  <c r="C43" i="48"/>
  <c r="A63" i="53"/>
  <c r="A67" i="53"/>
  <c r="D199" i="53"/>
  <c r="E219" i="53"/>
  <c r="F152" i="53"/>
  <c r="E201" i="53"/>
  <c r="F34" i="42"/>
  <c r="G46" i="61"/>
  <c r="I34" i="42"/>
  <c r="J46" i="61"/>
  <c r="E38" i="48"/>
  <c r="E34" i="48"/>
  <c r="E30" i="48"/>
  <c r="G28" i="48"/>
  <c r="H52" i="48"/>
  <c r="H56" i="48"/>
  <c r="E29" i="21"/>
  <c r="H35" i="48"/>
  <c r="I38" i="48"/>
  <c r="I34" i="48"/>
  <c r="I30" i="48"/>
  <c r="J29" i="48"/>
  <c r="D197" i="53"/>
  <c r="F197" i="53"/>
  <c r="H34" i="42"/>
  <c r="E37" i="48"/>
  <c r="E33" i="48"/>
  <c r="E29" i="48"/>
  <c r="F36" i="48"/>
  <c r="F28" i="48"/>
  <c r="G35" i="48"/>
  <c r="I29" i="48"/>
  <c r="A65" i="53"/>
  <c r="A89" i="53"/>
  <c r="A93" i="53"/>
  <c r="D242" i="53"/>
  <c r="D178" i="53"/>
  <c r="E218" i="53"/>
  <c r="E178" i="53"/>
  <c r="G200" i="53"/>
  <c r="G197" i="53"/>
  <c r="I152" i="53"/>
  <c r="H219" i="53"/>
  <c r="D126" i="83"/>
  <c r="J124" i="53"/>
  <c r="I205" i="53"/>
  <c r="D17" i="83"/>
  <c r="D21" i="83"/>
  <c r="D37" i="83"/>
  <c r="D15" i="83"/>
  <c r="D16" i="83"/>
  <c r="C32" i="83"/>
  <c r="D18" i="83"/>
  <c r="D19" i="83"/>
  <c r="D14" i="83"/>
  <c r="D22" i="83"/>
  <c r="C23" i="83"/>
  <c r="D39" i="83"/>
  <c r="D38" i="83"/>
  <c r="D20" i="83"/>
  <c r="D24" i="81"/>
  <c r="D25" i="81"/>
  <c r="D26" i="81"/>
  <c r="D37" i="84"/>
  <c r="D65" i="84"/>
  <c r="E98" i="83"/>
  <c r="J181" i="84"/>
  <c r="J185" i="84"/>
  <c r="H31" i="21"/>
  <c r="J17" i="42"/>
  <c r="B45" i="81"/>
  <c r="B49" i="81"/>
  <c r="D15" i="81"/>
  <c r="D19" i="81"/>
  <c r="G47" i="57"/>
  <c r="G73" i="57"/>
  <c r="D34" i="42"/>
  <c r="O10" i="61"/>
  <c r="F111" i="57"/>
  <c r="D10" i="62"/>
  <c r="C20" i="68"/>
  <c r="E86" i="22"/>
  <c r="D41" i="21"/>
  <c r="E61" i="29"/>
  <c r="C87" i="22"/>
  <c r="B41" i="21"/>
  <c r="F100" i="57"/>
  <c r="D9" i="62"/>
  <c r="H75" i="57"/>
  <c r="D86" i="22"/>
  <c r="F86" i="22"/>
  <c r="F11" i="62"/>
  <c r="C21" i="68"/>
  <c r="G86" i="22"/>
  <c r="G32" i="57"/>
  <c r="C49" i="22"/>
  <c r="F8" i="62"/>
  <c r="C18" i="68"/>
  <c r="G12" i="57"/>
  <c r="D6" i="62"/>
  <c r="C37" i="22"/>
  <c r="B18" i="21"/>
  <c r="D45" i="42"/>
  <c r="D47" i="42"/>
  <c r="E46" i="61"/>
  <c r="F18" i="21"/>
  <c r="H45" i="42"/>
  <c r="H47" i="42"/>
  <c r="I46" i="61"/>
  <c r="E45" i="42"/>
  <c r="E47" i="42"/>
  <c r="C18" i="21"/>
  <c r="G33" i="61"/>
  <c r="D8" i="21"/>
  <c r="C8" i="21"/>
  <c r="F33" i="61"/>
  <c r="G45" i="42"/>
  <c r="G47" i="42"/>
  <c r="E18" i="21"/>
  <c r="F8" i="21"/>
  <c r="D18" i="21"/>
  <c r="F45" i="42"/>
  <c r="F47" i="42"/>
  <c r="E8" i="21"/>
  <c r="G18" i="21"/>
  <c r="B8" i="21"/>
  <c r="E33" i="61"/>
  <c r="G58" i="57"/>
  <c r="G75" i="57"/>
  <c r="D7" i="62"/>
  <c r="C17" i="68"/>
  <c r="E87" i="22"/>
  <c r="D146" i="29"/>
  <c r="D131" i="29"/>
  <c r="D161" i="29"/>
  <c r="D24" i="68"/>
  <c r="D176" i="29"/>
  <c r="J43" i="48"/>
  <c r="F43" i="48"/>
  <c r="F49" i="48"/>
  <c r="G43" i="48"/>
  <c r="G49" i="48"/>
  <c r="H43" i="48"/>
  <c r="H49" i="48"/>
  <c r="I43" i="48"/>
  <c r="I49" i="48"/>
  <c r="E43" i="48"/>
  <c r="E49" i="48"/>
  <c r="B18" i="55"/>
  <c r="C49" i="81"/>
  <c r="J28" i="42"/>
  <c r="J29" i="42"/>
  <c r="J37" i="42"/>
  <c r="J27" i="42"/>
  <c r="I45" i="42"/>
  <c r="B86" i="81"/>
  <c r="C86" i="81"/>
  <c r="D86" i="81"/>
  <c r="E86" i="81"/>
  <c r="F86" i="81"/>
  <c r="G86" i="81"/>
  <c r="H86" i="81"/>
  <c r="F24" i="81"/>
  <c r="H24" i="81"/>
  <c r="D28" i="83"/>
  <c r="D30" i="83"/>
  <c r="D31" i="83"/>
  <c r="D24" i="83"/>
  <c r="D25" i="83"/>
  <c r="D26" i="83"/>
  <c r="D29" i="83"/>
  <c r="D27" i="83"/>
  <c r="F18" i="83"/>
  <c r="H18" i="83"/>
  <c r="B106" i="83"/>
  <c r="F37" i="83"/>
  <c r="H37" i="83"/>
  <c r="B123" i="83"/>
  <c r="J205" i="53"/>
  <c r="J267" i="53"/>
  <c r="J214" i="53"/>
  <c r="J243" i="53"/>
  <c r="J268" i="53"/>
  <c r="J219" i="53"/>
  <c r="J265" i="53"/>
  <c r="J273" i="53"/>
  <c r="H30" i="21"/>
  <c r="J266" i="53"/>
  <c r="F218" i="53"/>
  <c r="I201" i="53"/>
  <c r="J152" i="53"/>
  <c r="J32" i="48"/>
  <c r="F32" i="48"/>
  <c r="G32" i="48"/>
  <c r="H32" i="48"/>
  <c r="I32" i="48"/>
  <c r="I39" i="48"/>
  <c r="E32" i="48"/>
  <c r="E39" i="48"/>
  <c r="G33" i="72"/>
  <c r="F34" i="72"/>
  <c r="E46" i="72"/>
  <c r="F40" i="81"/>
  <c r="G40" i="81"/>
  <c r="H40" i="81"/>
  <c r="G254" i="55"/>
  <c r="G8" i="22"/>
  <c r="G12" i="22"/>
  <c r="G16" i="22"/>
  <c r="G20" i="22"/>
  <c r="G9" i="22"/>
  <c r="G21" i="22"/>
  <c r="G13" i="22"/>
  <c r="G17" i="22"/>
  <c r="G10" i="22"/>
  <c r="G14" i="22"/>
  <c r="G18" i="22"/>
  <c r="G22" i="22"/>
  <c r="G19" i="22"/>
  <c r="H4" i="22"/>
  <c r="G11" i="22"/>
  <c r="G15" i="22"/>
  <c r="B44" i="72"/>
  <c r="B109" i="81"/>
  <c r="C109" i="81"/>
  <c r="D109" i="81"/>
  <c r="E109" i="81"/>
  <c r="F109" i="81"/>
  <c r="G109" i="81"/>
  <c r="H109" i="81"/>
  <c r="D233" i="55"/>
  <c r="F20" i="83"/>
  <c r="H20" i="83"/>
  <c r="B108" i="83"/>
  <c r="F22" i="83"/>
  <c r="H22" i="83"/>
  <c r="B110" i="83"/>
  <c r="D35" i="83"/>
  <c r="D34" i="83"/>
  <c r="D36" i="83"/>
  <c r="D33" i="83"/>
  <c r="F21" i="83"/>
  <c r="H21" i="83"/>
  <c r="B109" i="83"/>
  <c r="I204" i="53"/>
  <c r="H199" i="53"/>
  <c r="H197" i="53"/>
  <c r="J201" i="53"/>
  <c r="G39" i="48"/>
  <c r="E42" i="81"/>
  <c r="D11" i="55"/>
  <c r="F70" i="83"/>
  <c r="E59" i="55"/>
  <c r="E116" i="55"/>
  <c r="D45" i="72"/>
  <c r="F26" i="81"/>
  <c r="H26" i="81"/>
  <c r="F25" i="81"/>
  <c r="H25" i="81"/>
  <c r="F38" i="83"/>
  <c r="H38" i="83"/>
  <c r="B124" i="83"/>
  <c r="N14" i="83"/>
  <c r="H74" i="83"/>
  <c r="H13" i="84"/>
  <c r="M14" i="83"/>
  <c r="G74" i="83"/>
  <c r="G13" i="84"/>
  <c r="L14" i="83"/>
  <c r="F74" i="83"/>
  <c r="F13" i="84"/>
  <c r="F14" i="83"/>
  <c r="H14" i="83"/>
  <c r="J14" i="83"/>
  <c r="D74" i="83"/>
  <c r="D13" i="84"/>
  <c r="K14" i="83"/>
  <c r="E74" i="83"/>
  <c r="E13" i="84"/>
  <c r="B102" i="83"/>
  <c r="F16" i="83"/>
  <c r="H16" i="83"/>
  <c r="B104" i="83"/>
  <c r="F17" i="83"/>
  <c r="H17" i="83"/>
  <c r="B105" i="83"/>
  <c r="J204" i="53"/>
  <c r="H218" i="53"/>
  <c r="H203" i="53"/>
  <c r="F39" i="48"/>
  <c r="H39" i="48"/>
  <c r="J33" i="48"/>
  <c r="J39" i="48"/>
  <c r="J37" i="48"/>
  <c r="K23" i="48"/>
  <c r="K32" i="48"/>
  <c r="J35" i="48"/>
  <c r="J52" i="48"/>
  <c r="J56" i="48"/>
  <c r="G29" i="21"/>
  <c r="J44" i="48"/>
  <c r="G10" i="42"/>
  <c r="I21" i="42"/>
  <c r="I23" i="42"/>
  <c r="H9" i="42"/>
  <c r="H10" i="42"/>
  <c r="J21" i="42"/>
  <c r="J23" i="42"/>
  <c r="E43" i="72"/>
  <c r="F39" i="72"/>
  <c r="F41" i="72"/>
  <c r="E239" i="55"/>
  <c r="C176" i="29"/>
  <c r="C131" i="29"/>
  <c r="C24" i="68"/>
  <c r="C146" i="29"/>
  <c r="C161" i="29"/>
  <c r="F19" i="81"/>
  <c r="H19" i="81"/>
  <c r="F15" i="81"/>
  <c r="H15" i="81"/>
  <c r="B14" i="55"/>
  <c r="C45" i="81"/>
  <c r="F98" i="83"/>
  <c r="E37" i="84"/>
  <c r="E65" i="84"/>
  <c r="F39" i="83"/>
  <c r="H39" i="83"/>
  <c r="B125" i="83"/>
  <c r="F19" i="83"/>
  <c r="H19" i="83"/>
  <c r="B107" i="83"/>
  <c r="F15" i="83"/>
  <c r="H15" i="83"/>
  <c r="B103" i="83"/>
  <c r="F200" i="53"/>
  <c r="E126" i="83"/>
  <c r="E57" i="53"/>
  <c r="E110" i="53"/>
  <c r="H200" i="53"/>
  <c r="H172" i="55"/>
  <c r="G279" i="55"/>
  <c r="G255" i="55"/>
  <c r="G280" i="55"/>
  <c r="G222" i="55"/>
  <c r="G294" i="55"/>
  <c r="E37" i="72"/>
  <c r="F12" i="29"/>
  <c r="C55" i="22"/>
  <c r="F10" i="62"/>
  <c r="O15" i="61"/>
  <c r="P10" i="61"/>
  <c r="C19" i="68"/>
  <c r="C61" i="22"/>
  <c r="F9" i="62"/>
  <c r="E41" i="21"/>
  <c r="F87" i="22"/>
  <c r="G87" i="22"/>
  <c r="F41" i="21"/>
  <c r="C41" i="21"/>
  <c r="D87" i="22"/>
  <c r="D12" i="29"/>
  <c r="C61" i="29"/>
  <c r="B17" i="69"/>
  <c r="E50" i="22"/>
  <c r="F50" i="22"/>
  <c r="C50" i="22"/>
  <c r="C51" i="22"/>
  <c r="D50" i="22"/>
  <c r="H50" i="22"/>
  <c r="G50" i="22"/>
  <c r="K49" i="22"/>
  <c r="I50" i="22"/>
  <c r="F6" i="62"/>
  <c r="C16" i="68"/>
  <c r="H38" i="22"/>
  <c r="E38" i="22"/>
  <c r="G38" i="22"/>
  <c r="D38" i="22"/>
  <c r="C38" i="22"/>
  <c r="C40" i="22"/>
  <c r="I38" i="22"/>
  <c r="F38" i="22"/>
  <c r="K37" i="22"/>
  <c r="E169" i="29"/>
  <c r="E154" i="29"/>
  <c r="E139" i="29"/>
  <c r="E124" i="29"/>
  <c r="E34" i="29"/>
  <c r="G169" i="29"/>
  <c r="G154" i="29"/>
  <c r="G139" i="29"/>
  <c r="G124" i="29"/>
  <c r="G34" i="29"/>
  <c r="C169" i="29"/>
  <c r="C154" i="29"/>
  <c r="C139" i="29"/>
  <c r="C124" i="29"/>
  <c r="C34" i="29"/>
  <c r="D154" i="29"/>
  <c r="D139" i="29"/>
  <c r="D124" i="29"/>
  <c r="D169" i="29"/>
  <c r="D34" i="29"/>
  <c r="F169" i="29"/>
  <c r="F154" i="29"/>
  <c r="F139" i="29"/>
  <c r="F124" i="29"/>
  <c r="F34" i="29"/>
  <c r="C43" i="22"/>
  <c r="D44" i="22"/>
  <c r="F7" i="62"/>
  <c r="B9" i="21"/>
  <c r="E30" i="61"/>
  <c r="J30" i="61"/>
  <c r="G9" i="21"/>
  <c r="F9" i="21"/>
  <c r="I30" i="61"/>
  <c r="B78" i="83"/>
  <c r="B50" i="83"/>
  <c r="F25" i="83"/>
  <c r="H25" i="83"/>
  <c r="B112" i="83"/>
  <c r="F28" i="83"/>
  <c r="H28" i="83"/>
  <c r="B115" i="83"/>
  <c r="J34" i="42"/>
  <c r="E57" i="48"/>
  <c r="E59" i="48"/>
  <c r="B19" i="21"/>
  <c r="E43" i="61"/>
  <c r="G57" i="48"/>
  <c r="G43" i="61"/>
  <c r="D19" i="21"/>
  <c r="C56" i="53"/>
  <c r="C109" i="53"/>
  <c r="C125" i="83"/>
  <c r="G41" i="72"/>
  <c r="C9" i="21"/>
  <c r="F30" i="61"/>
  <c r="C105" i="83"/>
  <c r="C36" i="53"/>
  <c r="C89" i="53"/>
  <c r="B96" i="83"/>
  <c r="B68" i="83"/>
  <c r="I218" i="53"/>
  <c r="F57" i="53"/>
  <c r="F110" i="53"/>
  <c r="F126" i="83"/>
  <c r="B75" i="83"/>
  <c r="B47" i="83"/>
  <c r="B97" i="83"/>
  <c r="B69" i="83"/>
  <c r="D236" i="55"/>
  <c r="B43" i="81"/>
  <c r="K33" i="61"/>
  <c r="H8" i="21"/>
  <c r="J199" i="53"/>
  <c r="B77" i="83"/>
  <c r="B49" i="83"/>
  <c r="E44" i="84"/>
  <c r="G44" i="84"/>
  <c r="E45" i="72"/>
  <c r="F42" i="81"/>
  <c r="E11" i="55"/>
  <c r="C109" i="83"/>
  <c r="C40" i="53"/>
  <c r="C93" i="53"/>
  <c r="F34" i="83"/>
  <c r="H34" i="83"/>
  <c r="B120" i="83"/>
  <c r="C39" i="53"/>
  <c r="C92" i="53"/>
  <c r="C108" i="83"/>
  <c r="G23" i="22"/>
  <c r="D33" i="21"/>
  <c r="F46" i="72"/>
  <c r="C123" i="83"/>
  <c r="C54" i="53"/>
  <c r="C107" i="53"/>
  <c r="F27" i="83"/>
  <c r="H27" i="83"/>
  <c r="B114" i="83"/>
  <c r="F24" i="83"/>
  <c r="H24" i="83"/>
  <c r="B111" i="83"/>
  <c r="B71" i="72"/>
  <c r="D158" i="72"/>
  <c r="D49" i="81"/>
  <c r="C18" i="55"/>
  <c r="I57" i="48"/>
  <c r="I59" i="48"/>
  <c r="F19" i="21"/>
  <c r="I43" i="61"/>
  <c r="F57" i="48"/>
  <c r="F59" i="48"/>
  <c r="C19" i="21"/>
  <c r="F43" i="61"/>
  <c r="J218" i="53"/>
  <c r="C103" i="83"/>
  <c r="C34" i="53"/>
  <c r="C87" i="53"/>
  <c r="D45" i="81"/>
  <c r="C14" i="55"/>
  <c r="I199" i="53"/>
  <c r="C102" i="83"/>
  <c r="C33" i="53"/>
  <c r="C86" i="53"/>
  <c r="B82" i="83"/>
  <c r="B54" i="83"/>
  <c r="C44" i="72"/>
  <c r="F235" i="55"/>
  <c r="I172" i="55"/>
  <c r="H279" i="55"/>
  <c r="H255" i="55"/>
  <c r="H280" i="55"/>
  <c r="H222" i="55"/>
  <c r="H294" i="55"/>
  <c r="H221" i="55"/>
  <c r="H223" i="55"/>
  <c r="H254" i="55"/>
  <c r="I203" i="53"/>
  <c r="C107" i="83"/>
  <c r="C38" i="53"/>
  <c r="C91" i="53"/>
  <c r="F37" i="72"/>
  <c r="G39" i="72"/>
  <c r="G8" i="21"/>
  <c r="J33" i="61"/>
  <c r="K52" i="48"/>
  <c r="K56" i="48"/>
  <c r="H29" i="21"/>
  <c r="K33" i="48"/>
  <c r="K37" i="48"/>
  <c r="K28" i="48"/>
  <c r="K36" i="48"/>
  <c r="K29" i="48"/>
  <c r="K31" i="48"/>
  <c r="K35" i="48"/>
  <c r="K38" i="48"/>
  <c r="K34" i="48"/>
  <c r="K44" i="48"/>
  <c r="K30" i="48"/>
  <c r="E9" i="21"/>
  <c r="H30" i="61"/>
  <c r="I200" i="53"/>
  <c r="C35" i="53"/>
  <c r="C88" i="53"/>
  <c r="C104" i="83"/>
  <c r="D44" i="84"/>
  <c r="H44" i="84"/>
  <c r="B52" i="81"/>
  <c r="G278" i="55"/>
  <c r="E168" i="55"/>
  <c r="G227" i="55"/>
  <c r="G59" i="48"/>
  <c r="D9" i="21"/>
  <c r="G30" i="61"/>
  <c r="B81" i="83"/>
  <c r="B53" i="83"/>
  <c r="F35" i="83"/>
  <c r="H35" i="83"/>
  <c r="B121" i="83"/>
  <c r="B80" i="83"/>
  <c r="B52" i="83"/>
  <c r="H33" i="72"/>
  <c r="H34" i="72"/>
  <c r="G34" i="72"/>
  <c r="I197" i="53"/>
  <c r="B95" i="83"/>
  <c r="B67" i="83"/>
  <c r="F29" i="83"/>
  <c r="H29" i="83"/>
  <c r="B116" i="83"/>
  <c r="F31" i="83"/>
  <c r="H31" i="83"/>
  <c r="B118" i="83"/>
  <c r="D240" i="55"/>
  <c r="H57" i="48"/>
  <c r="H59" i="48"/>
  <c r="H43" i="61"/>
  <c r="E19" i="21"/>
  <c r="J49" i="48"/>
  <c r="F242" i="53"/>
  <c r="F178" i="53"/>
  <c r="B47" i="81"/>
  <c r="F43" i="72"/>
  <c r="F44" i="84"/>
  <c r="F36" i="83"/>
  <c r="H36" i="83"/>
  <c r="B122" i="83"/>
  <c r="I4" i="22"/>
  <c r="H10" i="22"/>
  <c r="H14" i="22"/>
  <c r="H18" i="22"/>
  <c r="H22" i="22"/>
  <c r="H11" i="22"/>
  <c r="H19" i="22"/>
  <c r="H15" i="22"/>
  <c r="H8" i="22"/>
  <c r="H12" i="22"/>
  <c r="H16" i="22"/>
  <c r="H20" i="22"/>
  <c r="H9" i="22"/>
  <c r="H13" i="22"/>
  <c r="H17" i="22"/>
  <c r="H21" i="22"/>
  <c r="F239" i="55"/>
  <c r="J203" i="53"/>
  <c r="B79" i="83"/>
  <c r="B51" i="83"/>
  <c r="F37" i="84"/>
  <c r="F65" i="84"/>
  <c r="G98" i="83"/>
  <c r="B87" i="81"/>
  <c r="C87" i="81"/>
  <c r="D87" i="81"/>
  <c r="E87" i="81"/>
  <c r="F87" i="81"/>
  <c r="G87" i="81"/>
  <c r="H87" i="81"/>
  <c r="J200" i="53"/>
  <c r="B76" i="83"/>
  <c r="B48" i="83"/>
  <c r="B74" i="83"/>
  <c r="B13" i="84"/>
  <c r="B46" i="83"/>
  <c r="C55" i="53"/>
  <c r="C108" i="53"/>
  <c r="C124" i="83"/>
  <c r="G70" i="83"/>
  <c r="F59" i="55"/>
  <c r="F116" i="55"/>
  <c r="F33" i="83"/>
  <c r="H33" i="83"/>
  <c r="B119" i="83"/>
  <c r="C110" i="83"/>
  <c r="C41" i="53"/>
  <c r="C94" i="53"/>
  <c r="E237" i="55"/>
  <c r="J197" i="53"/>
  <c r="C106" i="83"/>
  <c r="C37" i="53"/>
  <c r="C90" i="53"/>
  <c r="F26" i="83"/>
  <c r="H26" i="83"/>
  <c r="B113" i="83"/>
  <c r="F30" i="83"/>
  <c r="H30" i="83"/>
  <c r="B117" i="83"/>
  <c r="I47" i="42"/>
  <c r="K43" i="48"/>
  <c r="K49" i="48"/>
  <c r="Q10" i="61"/>
  <c r="P15" i="61"/>
  <c r="H56" i="22"/>
  <c r="E56" i="22"/>
  <c r="C56" i="22"/>
  <c r="G56" i="22"/>
  <c r="F56" i="22"/>
  <c r="K55" i="22"/>
  <c r="I56" i="22"/>
  <c r="D56" i="22"/>
  <c r="C17" i="69"/>
  <c r="D17" i="69"/>
  <c r="E17" i="69"/>
  <c r="F17" i="69"/>
  <c r="G17" i="69"/>
  <c r="H17" i="69"/>
  <c r="D61" i="29"/>
  <c r="E12" i="29"/>
  <c r="F13" i="62"/>
  <c r="E20" i="62"/>
  <c r="B33" i="69"/>
  <c r="C33" i="69"/>
  <c r="D33" i="69"/>
  <c r="E33" i="69"/>
  <c r="F33" i="69"/>
  <c r="G33" i="69"/>
  <c r="H33" i="69"/>
  <c r="H12" i="29"/>
  <c r="G61" i="29"/>
  <c r="F61" i="29"/>
  <c r="G12" i="29"/>
  <c r="I62" i="22"/>
  <c r="K61" i="22"/>
  <c r="H62" i="22"/>
  <c r="C62" i="22"/>
  <c r="C63" i="22"/>
  <c r="G62" i="22"/>
  <c r="D62" i="22"/>
  <c r="E62" i="22"/>
  <c r="F62" i="22"/>
  <c r="C52" i="22"/>
  <c r="D49" i="22"/>
  <c r="D52" i="22"/>
  <c r="E49" i="22"/>
  <c r="E52" i="22"/>
  <c r="F49" i="22"/>
  <c r="F52" i="22"/>
  <c r="G49" i="22"/>
  <c r="G52" i="22"/>
  <c r="H49" i="22"/>
  <c r="H52" i="22"/>
  <c r="I49" i="22"/>
  <c r="I52" i="22"/>
  <c r="K50" i="22"/>
  <c r="K51" i="22"/>
  <c r="D51" i="22"/>
  <c r="E51" i="22"/>
  <c r="F51" i="22"/>
  <c r="G51" i="22"/>
  <c r="H51" i="22"/>
  <c r="I51" i="22"/>
  <c r="D37" i="22"/>
  <c r="K38" i="22"/>
  <c r="K40" i="22"/>
  <c r="C39" i="22"/>
  <c r="F44" i="22"/>
  <c r="F66" i="22"/>
  <c r="E40" i="21"/>
  <c r="G11" i="29"/>
  <c r="C44" i="22"/>
  <c r="C45" i="22"/>
  <c r="K43" i="22"/>
  <c r="K44" i="22"/>
  <c r="K45" i="22"/>
  <c r="I44" i="22"/>
  <c r="I66" i="22"/>
  <c r="H40" i="21"/>
  <c r="C65" i="22"/>
  <c r="B12" i="69"/>
  <c r="C10" i="68"/>
  <c r="H44" i="22"/>
  <c r="H66" i="22"/>
  <c r="G13" i="69"/>
  <c r="E44" i="22"/>
  <c r="E66" i="22"/>
  <c r="D40" i="21"/>
  <c r="G44" i="22"/>
  <c r="G66" i="22"/>
  <c r="F40" i="21"/>
  <c r="C9" i="68"/>
  <c r="C122" i="83"/>
  <c r="C53" i="53"/>
  <c r="C106" i="53"/>
  <c r="D174" i="53"/>
  <c r="D211" i="53"/>
  <c r="C48" i="83"/>
  <c r="B37" i="55"/>
  <c r="B94" i="55"/>
  <c r="B50" i="72"/>
  <c r="C118" i="83"/>
  <c r="C49" i="53"/>
  <c r="C102" i="53"/>
  <c r="C80" i="83"/>
  <c r="B19" i="84"/>
  <c r="B50" i="84"/>
  <c r="D226" i="53"/>
  <c r="D159" i="53"/>
  <c r="B90" i="83"/>
  <c r="B62" i="83"/>
  <c r="C95" i="83"/>
  <c r="B34" i="84"/>
  <c r="B62" i="84"/>
  <c r="B49" i="72"/>
  <c r="C121" i="83"/>
  <c r="C52" i="53"/>
  <c r="C105" i="53"/>
  <c r="D173" i="53"/>
  <c r="B48" i="72"/>
  <c r="H39" i="72"/>
  <c r="D107" i="83"/>
  <c r="D38" i="53"/>
  <c r="D91" i="53"/>
  <c r="C54" i="83"/>
  <c r="B43" i="55"/>
  <c r="B100" i="55"/>
  <c r="D154" i="53"/>
  <c r="D221" i="53"/>
  <c r="E236" i="55"/>
  <c r="E240" i="55"/>
  <c r="B83" i="83"/>
  <c r="B55" i="83"/>
  <c r="D123" i="83"/>
  <c r="D54" i="53"/>
  <c r="D107" i="53"/>
  <c r="D209" i="53"/>
  <c r="C51" i="53"/>
  <c r="C104" i="53"/>
  <c r="D172" i="53"/>
  <c r="C120" i="83"/>
  <c r="B53" i="72"/>
  <c r="C97" i="83"/>
  <c r="B36" i="84"/>
  <c r="B64" i="84"/>
  <c r="G178" i="53"/>
  <c r="G242" i="53"/>
  <c r="D247" i="55"/>
  <c r="C96" i="83"/>
  <c r="B35" i="84"/>
  <c r="B63" i="84"/>
  <c r="D140" i="29"/>
  <c r="D125" i="29"/>
  <c r="D35" i="29"/>
  <c r="D170" i="29"/>
  <c r="D155" i="29"/>
  <c r="D198" i="53"/>
  <c r="C115" i="83"/>
  <c r="C46" i="53"/>
  <c r="C99" i="53"/>
  <c r="C50" i="83"/>
  <c r="B39" i="55"/>
  <c r="B96" i="55"/>
  <c r="D106" i="83"/>
  <c r="D37" i="53"/>
  <c r="D90" i="53"/>
  <c r="B55" i="72"/>
  <c r="B56" i="55"/>
  <c r="B113" i="55"/>
  <c r="C67" i="83"/>
  <c r="C81" i="83"/>
  <c r="B20" i="84"/>
  <c r="B51" i="84"/>
  <c r="D156" i="53"/>
  <c r="D223" i="53"/>
  <c r="C111" i="83"/>
  <c r="C42" i="53"/>
  <c r="C95" i="53"/>
  <c r="D239" i="53"/>
  <c r="D175" i="53"/>
  <c r="D160" i="53"/>
  <c r="D227" i="53"/>
  <c r="D207" i="53"/>
  <c r="G57" i="53"/>
  <c r="G110" i="53"/>
  <c r="G126" i="83"/>
  <c r="B57" i="55"/>
  <c r="B114" i="55"/>
  <c r="C68" i="83"/>
  <c r="B84" i="83"/>
  <c r="B56" i="83"/>
  <c r="D212" i="53"/>
  <c r="D176" i="53"/>
  <c r="D240" i="53"/>
  <c r="C76" i="83"/>
  <c r="B15" i="84"/>
  <c r="B46" i="84"/>
  <c r="H43" i="72"/>
  <c r="G43" i="72"/>
  <c r="B85" i="83"/>
  <c r="B57" i="83"/>
  <c r="D162" i="53"/>
  <c r="D229" i="53"/>
  <c r="H278" i="55"/>
  <c r="F168" i="55"/>
  <c r="H227" i="55"/>
  <c r="D208" i="53"/>
  <c r="C46" i="83"/>
  <c r="B35" i="55"/>
  <c r="D202" i="53"/>
  <c r="H98" i="83"/>
  <c r="H37" i="84"/>
  <c r="H65" i="84"/>
  <c r="G37" i="84"/>
  <c r="G65" i="84"/>
  <c r="F237" i="55"/>
  <c r="J57" i="48"/>
  <c r="J59" i="48"/>
  <c r="J43" i="61"/>
  <c r="G19" i="21"/>
  <c r="C47" i="53"/>
  <c r="C100" i="53"/>
  <c r="C116" i="83"/>
  <c r="B93" i="83"/>
  <c r="B65" i="83"/>
  <c r="C65" i="83"/>
  <c r="D65" i="83"/>
  <c r="E65" i="83"/>
  <c r="F65" i="83"/>
  <c r="G65" i="83"/>
  <c r="H65" i="83"/>
  <c r="B21" i="55"/>
  <c r="K39" i="48"/>
  <c r="D210" i="53"/>
  <c r="C82" i="83"/>
  <c r="B21" i="84"/>
  <c r="B52" i="84"/>
  <c r="D102" i="83"/>
  <c r="D33" i="53"/>
  <c r="D86" i="53"/>
  <c r="E45" i="81"/>
  <c r="D14" i="55"/>
  <c r="D18" i="55"/>
  <c r="E49" i="81"/>
  <c r="D206" i="53"/>
  <c r="C114" i="83"/>
  <c r="C45" i="53"/>
  <c r="C98" i="53"/>
  <c r="B92" i="83"/>
  <c r="B64" i="83"/>
  <c r="C64" i="83"/>
  <c r="D64" i="83"/>
  <c r="E64" i="83"/>
  <c r="F64" i="83"/>
  <c r="G64" i="83"/>
  <c r="H64" i="83"/>
  <c r="D216" i="53"/>
  <c r="C49" i="83"/>
  <c r="B38" i="55"/>
  <c r="B95" i="55"/>
  <c r="I139" i="29"/>
  <c r="I124" i="29"/>
  <c r="I154" i="29"/>
  <c r="I34" i="29"/>
  <c r="I169" i="29"/>
  <c r="B12" i="55"/>
  <c r="C43" i="81"/>
  <c r="C47" i="83"/>
  <c r="B36" i="55"/>
  <c r="B93" i="55"/>
  <c r="F233" i="55"/>
  <c r="D224" i="53"/>
  <c r="D157" i="53"/>
  <c r="D252" i="55"/>
  <c r="B87" i="83"/>
  <c r="B59" i="83"/>
  <c r="C78" i="83"/>
  <c r="B17" i="84"/>
  <c r="B48" i="84"/>
  <c r="H170" i="29"/>
  <c r="H35" i="29"/>
  <c r="H140" i="29"/>
  <c r="H125" i="29"/>
  <c r="H155" i="29"/>
  <c r="C35" i="29"/>
  <c r="C155" i="29"/>
  <c r="C140" i="29"/>
  <c r="C170" i="29"/>
  <c r="C125" i="29"/>
  <c r="B89" i="83"/>
  <c r="B61" i="83"/>
  <c r="C119" i="83"/>
  <c r="C50" i="53"/>
  <c r="C103" i="53"/>
  <c r="D124" i="83"/>
  <c r="D55" i="53"/>
  <c r="D108" i="53"/>
  <c r="G37" i="72"/>
  <c r="C79" i="83"/>
  <c r="B18" i="84"/>
  <c r="B49" i="84"/>
  <c r="D213" i="53"/>
  <c r="C71" i="72"/>
  <c r="E158" i="72"/>
  <c r="D250" i="55"/>
  <c r="F155" i="29"/>
  <c r="F35" i="29"/>
  <c r="F170" i="29"/>
  <c r="F125" i="29"/>
  <c r="F140" i="29"/>
  <c r="D217" i="53"/>
  <c r="J172" i="55"/>
  <c r="I254" i="55"/>
  <c r="I279" i="55"/>
  <c r="I255" i="55"/>
  <c r="I280" i="55"/>
  <c r="I222" i="55"/>
  <c r="I294" i="55"/>
  <c r="I223" i="55"/>
  <c r="I221" i="55"/>
  <c r="D44" i="72"/>
  <c r="D244" i="55"/>
  <c r="D103" i="83"/>
  <c r="D34" i="53"/>
  <c r="D87" i="53"/>
  <c r="E24" i="68"/>
  <c r="E176" i="29"/>
  <c r="E146" i="29"/>
  <c r="E131" i="29"/>
  <c r="E161" i="29"/>
  <c r="D109" i="83"/>
  <c r="D40" i="53"/>
  <c r="D93" i="53"/>
  <c r="F45" i="72"/>
  <c r="B58" i="55"/>
  <c r="B115" i="55"/>
  <c r="C69" i="83"/>
  <c r="D241" i="53"/>
  <c r="D177" i="53"/>
  <c r="K46" i="61"/>
  <c r="J45" i="42"/>
  <c r="J47" i="42"/>
  <c r="H18" i="21"/>
  <c r="G140" i="29"/>
  <c r="G125" i="29"/>
  <c r="G170" i="29"/>
  <c r="G155" i="29"/>
  <c r="G35" i="29"/>
  <c r="C113" i="83"/>
  <c r="C44" i="53"/>
  <c r="C97" i="53"/>
  <c r="B91" i="83"/>
  <c r="B63" i="83"/>
  <c r="H37" i="72"/>
  <c r="B51" i="72"/>
  <c r="B94" i="83"/>
  <c r="B66" i="83"/>
  <c r="C66" i="83"/>
  <c r="D66" i="83"/>
  <c r="E66" i="83"/>
  <c r="F66" i="83"/>
  <c r="G66" i="83"/>
  <c r="H66" i="83"/>
  <c r="K57" i="48"/>
  <c r="K43" i="61"/>
  <c r="H19" i="21"/>
  <c r="C117" i="83"/>
  <c r="C48" i="53"/>
  <c r="C101" i="53"/>
  <c r="D158" i="53"/>
  <c r="D225" i="53"/>
  <c r="G241" i="55"/>
  <c r="D110" i="83"/>
  <c r="D41" i="53"/>
  <c r="D94" i="53"/>
  <c r="H70" i="83"/>
  <c r="H59" i="55"/>
  <c r="H116" i="55"/>
  <c r="G59" i="55"/>
  <c r="G116" i="55"/>
  <c r="B44" i="84"/>
  <c r="C51" i="83"/>
  <c r="B40" i="55"/>
  <c r="B97" i="55"/>
  <c r="H23" i="22"/>
  <c r="E33" i="21"/>
  <c r="I11" i="22"/>
  <c r="I15" i="22"/>
  <c r="I19" i="22"/>
  <c r="J4" i="22"/>
  <c r="I12" i="22"/>
  <c r="I8" i="22"/>
  <c r="I16" i="22"/>
  <c r="I20" i="22"/>
  <c r="I9" i="22"/>
  <c r="I13" i="22"/>
  <c r="I17" i="22"/>
  <c r="I21" i="22"/>
  <c r="I10" i="22"/>
  <c r="I14" i="22"/>
  <c r="I18" i="22"/>
  <c r="I22" i="22"/>
  <c r="B16" i="55"/>
  <c r="C47" i="81"/>
  <c r="B88" i="83"/>
  <c r="B60" i="83"/>
  <c r="C52" i="83"/>
  <c r="B41" i="55"/>
  <c r="B98" i="55"/>
  <c r="C53" i="83"/>
  <c r="B42" i="55"/>
  <c r="B99" i="55"/>
  <c r="E170" i="29"/>
  <c r="E35" i="29"/>
  <c r="E140" i="29"/>
  <c r="E125" i="29"/>
  <c r="E155" i="29"/>
  <c r="D215" i="53"/>
  <c r="D104" i="83"/>
  <c r="D35" i="53"/>
  <c r="D88" i="53"/>
  <c r="H169" i="29"/>
  <c r="H154" i="29"/>
  <c r="H34" i="29"/>
  <c r="H139" i="29"/>
  <c r="H124" i="29"/>
  <c r="G235" i="55"/>
  <c r="D222" i="53"/>
  <c r="D155" i="53"/>
  <c r="G239" i="55"/>
  <c r="B86" i="83"/>
  <c r="B58" i="83"/>
  <c r="G46" i="72"/>
  <c r="H46" i="72"/>
  <c r="D108" i="83"/>
  <c r="D39" i="53"/>
  <c r="D92" i="53"/>
  <c r="D161" i="53"/>
  <c r="D228" i="53"/>
  <c r="G42" i="81"/>
  <c r="F11" i="55"/>
  <c r="C77" i="83"/>
  <c r="B16" i="84"/>
  <c r="B47" i="84"/>
  <c r="B54" i="72"/>
  <c r="B14" i="84"/>
  <c r="B45" i="84"/>
  <c r="C75" i="83"/>
  <c r="D105" i="83"/>
  <c r="D36" i="53"/>
  <c r="D89" i="53"/>
  <c r="H41" i="72"/>
  <c r="D125" i="83"/>
  <c r="D56" i="53"/>
  <c r="D109" i="53"/>
  <c r="B52" i="72"/>
  <c r="C43" i="53"/>
  <c r="C96" i="53"/>
  <c r="C112" i="83"/>
  <c r="C57" i="22"/>
  <c r="D57" i="22"/>
  <c r="E57" i="22"/>
  <c r="F57" i="22"/>
  <c r="G57" i="22"/>
  <c r="H57" i="22"/>
  <c r="I57" i="22"/>
  <c r="C58" i="22"/>
  <c r="D55" i="22"/>
  <c r="D58" i="22"/>
  <c r="E55" i="22"/>
  <c r="E58" i="22"/>
  <c r="F55" i="22"/>
  <c r="F58" i="22"/>
  <c r="G55" i="22"/>
  <c r="G58" i="22"/>
  <c r="H55" i="22"/>
  <c r="H58" i="22"/>
  <c r="I55" i="22"/>
  <c r="I58" i="22"/>
  <c r="Q15" i="61"/>
  <c r="R10" i="61"/>
  <c r="R15" i="61"/>
  <c r="K56" i="22"/>
  <c r="K57" i="22"/>
  <c r="K52" i="22"/>
  <c r="L49" i="22"/>
  <c r="L50" i="22"/>
  <c r="L52" i="22"/>
  <c r="M49" i="22"/>
  <c r="D45" i="22"/>
  <c r="D66" i="22"/>
  <c r="C13" i="69"/>
  <c r="D63" i="22"/>
  <c r="E63" i="22"/>
  <c r="F63" i="22"/>
  <c r="G63" i="22"/>
  <c r="H63" i="22"/>
  <c r="I63" i="22"/>
  <c r="C64" i="22"/>
  <c r="D61" i="22"/>
  <c r="D64" i="22"/>
  <c r="E61" i="22"/>
  <c r="E64" i="22"/>
  <c r="F61" i="22"/>
  <c r="F64" i="22"/>
  <c r="G61" i="22"/>
  <c r="G64" i="22"/>
  <c r="H61" i="22"/>
  <c r="H64" i="22"/>
  <c r="I61" i="22"/>
  <c r="I64" i="22"/>
  <c r="K62" i="22"/>
  <c r="K63" i="22"/>
  <c r="D39" i="22"/>
  <c r="K39" i="22"/>
  <c r="L37" i="22"/>
  <c r="D40" i="22"/>
  <c r="C67" i="22"/>
  <c r="K65" i="22"/>
  <c r="C46" i="22"/>
  <c r="D43" i="22"/>
  <c r="C66" i="22"/>
  <c r="B40" i="21"/>
  <c r="E45" i="22"/>
  <c r="F45" i="22"/>
  <c r="G45" i="22"/>
  <c r="H45" i="22"/>
  <c r="I45" i="22"/>
  <c r="D250" i="53"/>
  <c r="E227" i="53"/>
  <c r="E160" i="53"/>
  <c r="B96" i="72"/>
  <c r="D155" i="72"/>
  <c r="B149" i="55"/>
  <c r="D208" i="55"/>
  <c r="D262" i="55"/>
  <c r="G168" i="55"/>
  <c r="I227" i="55"/>
  <c r="I278" i="55"/>
  <c r="C59" i="83"/>
  <c r="B48" i="55"/>
  <c r="B105" i="55"/>
  <c r="E105" i="83"/>
  <c r="E36" i="53"/>
  <c r="E89" i="53"/>
  <c r="E125" i="83"/>
  <c r="E56" i="53"/>
  <c r="E109" i="53"/>
  <c r="D75" i="83"/>
  <c r="C14" i="84"/>
  <c r="C58" i="83"/>
  <c r="B47" i="55"/>
  <c r="B104" i="55"/>
  <c r="E244" i="55"/>
  <c r="E104" i="83"/>
  <c r="E35" i="53"/>
  <c r="E88" i="53"/>
  <c r="B151" i="55"/>
  <c r="D210" i="55"/>
  <c r="D264" i="55"/>
  <c r="D114" i="83"/>
  <c r="D45" i="53"/>
  <c r="D98" i="53"/>
  <c r="E102" i="83"/>
  <c r="E33" i="53"/>
  <c r="E86" i="53"/>
  <c r="D235" i="53"/>
  <c r="D168" i="53"/>
  <c r="E212" i="53"/>
  <c r="D68" i="83"/>
  <c r="C57" i="55"/>
  <c r="C114" i="55"/>
  <c r="C55" i="72"/>
  <c r="E252" i="55"/>
  <c r="C55" i="83"/>
  <c r="B44" i="55"/>
  <c r="B101" i="55"/>
  <c r="B152" i="55"/>
  <c r="D211" i="55"/>
  <c r="D265" i="55"/>
  <c r="D95" i="83"/>
  <c r="C34" i="84"/>
  <c r="C62" i="84"/>
  <c r="D48" i="83"/>
  <c r="C37" i="55"/>
  <c r="C94" i="55"/>
  <c r="D77" i="83"/>
  <c r="C16" i="84"/>
  <c r="C47" i="84"/>
  <c r="H42" i="81"/>
  <c r="H11" i="55"/>
  <c r="G11" i="55"/>
  <c r="E108" i="83"/>
  <c r="E39" i="53"/>
  <c r="E92" i="53"/>
  <c r="C86" i="83"/>
  <c r="B25" i="84"/>
  <c r="B56" i="84"/>
  <c r="D53" i="83"/>
  <c r="C42" i="55"/>
  <c r="C99" i="55"/>
  <c r="E250" i="55"/>
  <c r="J8" i="22"/>
  <c r="J12" i="22"/>
  <c r="J16" i="22"/>
  <c r="J20" i="22"/>
  <c r="J13" i="22"/>
  <c r="J21" i="22"/>
  <c r="J9" i="22"/>
  <c r="J17" i="22"/>
  <c r="K4" i="22"/>
  <c r="J10" i="22"/>
  <c r="J14" i="22"/>
  <c r="J18" i="22"/>
  <c r="J22" i="22"/>
  <c r="J15" i="22"/>
  <c r="J19" i="22"/>
  <c r="J11" i="22"/>
  <c r="F176" i="29"/>
  <c r="F161" i="29"/>
  <c r="F146" i="29"/>
  <c r="F131" i="29"/>
  <c r="F24" i="68"/>
  <c r="D51" i="83"/>
  <c r="C40" i="55"/>
  <c r="C97" i="55"/>
  <c r="H168" i="55"/>
  <c r="J227" i="55"/>
  <c r="J278" i="55"/>
  <c r="D236" i="53"/>
  <c r="D169" i="53"/>
  <c r="D251" i="55"/>
  <c r="D165" i="53"/>
  <c r="D232" i="53"/>
  <c r="D248" i="55"/>
  <c r="D69" i="83"/>
  <c r="C58" i="55"/>
  <c r="C115" i="55"/>
  <c r="E228" i="53"/>
  <c r="E161" i="53"/>
  <c r="E103" i="83"/>
  <c r="E34" i="53"/>
  <c r="E87" i="53"/>
  <c r="E44" i="72"/>
  <c r="D119" i="83"/>
  <c r="D50" i="53"/>
  <c r="D103" i="53"/>
  <c r="C87" i="83"/>
  <c r="B26" i="84"/>
  <c r="B57" i="84"/>
  <c r="D249" i="55"/>
  <c r="B147" i="55"/>
  <c r="D206" i="55"/>
  <c r="D260" i="55"/>
  <c r="G233" i="55"/>
  <c r="E209" i="53"/>
  <c r="F236" i="55"/>
  <c r="D46" i="83"/>
  <c r="C35" i="55"/>
  <c r="D253" i="55"/>
  <c r="B166" i="55"/>
  <c r="D225" i="55"/>
  <c r="D276" i="55"/>
  <c r="H239" i="55"/>
  <c r="D81" i="83"/>
  <c r="C20" i="84"/>
  <c r="C51" i="84"/>
  <c r="C39" i="55"/>
  <c r="C96" i="55"/>
  <c r="D50" i="83"/>
  <c r="D96" i="83"/>
  <c r="C35" i="84"/>
  <c r="C63" i="84"/>
  <c r="C53" i="72"/>
  <c r="C83" i="83"/>
  <c r="B22" i="84"/>
  <c r="B53" i="84"/>
  <c r="C43" i="55"/>
  <c r="C100" i="55"/>
  <c r="D54" i="83"/>
  <c r="E217" i="53"/>
  <c r="C48" i="72"/>
  <c r="C49" i="72"/>
  <c r="C62" i="83"/>
  <c r="B51" i="55"/>
  <c r="B108" i="55"/>
  <c r="E213" i="53"/>
  <c r="C50" i="72"/>
  <c r="D112" i="83"/>
  <c r="D43" i="53"/>
  <c r="D96" i="53"/>
  <c r="D231" i="53"/>
  <c r="D164" i="53"/>
  <c r="E210" i="53"/>
  <c r="C51" i="72"/>
  <c r="E247" i="55"/>
  <c r="E222" i="53"/>
  <c r="E155" i="53"/>
  <c r="D238" i="53"/>
  <c r="D171" i="53"/>
  <c r="E198" i="53"/>
  <c r="C92" i="83"/>
  <c r="B31" i="84"/>
  <c r="F240" i="55"/>
  <c r="K59" i="48"/>
  <c r="H9" i="21"/>
  <c r="K30" i="61"/>
  <c r="C93" i="83"/>
  <c r="B32" i="84"/>
  <c r="B92" i="55"/>
  <c r="H241" i="55"/>
  <c r="B148" i="55"/>
  <c r="D207" i="55"/>
  <c r="D261" i="55"/>
  <c r="E207" i="53"/>
  <c r="E107" i="83"/>
  <c r="E38" i="53"/>
  <c r="E91" i="53"/>
  <c r="D118" i="83"/>
  <c r="D49" i="53"/>
  <c r="D102" i="53"/>
  <c r="C52" i="72"/>
  <c r="E224" i="53"/>
  <c r="E157" i="53"/>
  <c r="E216" i="53"/>
  <c r="E206" i="53"/>
  <c r="B150" i="55"/>
  <c r="D209" i="55"/>
  <c r="D263" i="55"/>
  <c r="C60" i="83"/>
  <c r="B49" i="55"/>
  <c r="B106" i="55"/>
  <c r="C16" i="55"/>
  <c r="D47" i="81"/>
  <c r="E202" i="53"/>
  <c r="E208" i="53"/>
  <c r="E162" i="53"/>
  <c r="E229" i="53"/>
  <c r="D117" i="83"/>
  <c r="D48" i="53"/>
  <c r="D101" i="53"/>
  <c r="C63" i="83"/>
  <c r="B52" i="55"/>
  <c r="B109" i="55"/>
  <c r="D113" i="83"/>
  <c r="D44" i="53"/>
  <c r="D97" i="53"/>
  <c r="D277" i="55"/>
  <c r="B167" i="55"/>
  <c r="D226" i="55"/>
  <c r="E109" i="83"/>
  <c r="E40" i="53"/>
  <c r="E93" i="53"/>
  <c r="J279" i="55"/>
  <c r="J255" i="55"/>
  <c r="J280" i="55"/>
  <c r="J222" i="55"/>
  <c r="J294" i="55"/>
  <c r="J221" i="55"/>
  <c r="J254" i="55"/>
  <c r="J223" i="55"/>
  <c r="E240" i="53"/>
  <c r="E176" i="53"/>
  <c r="C61" i="83"/>
  <c r="B50" i="55"/>
  <c r="B107" i="55"/>
  <c r="B145" i="55"/>
  <c r="D204" i="55"/>
  <c r="D258" i="55"/>
  <c r="D43" i="81"/>
  <c r="C12" i="55"/>
  <c r="D49" i="83"/>
  <c r="C38" i="55"/>
  <c r="C95" i="55"/>
  <c r="F45" i="81"/>
  <c r="E14" i="55"/>
  <c r="D82" i="83"/>
  <c r="C21" i="84"/>
  <c r="C52" i="84"/>
  <c r="D243" i="55"/>
  <c r="D245" i="55"/>
  <c r="D242" i="55"/>
  <c r="B79" i="72"/>
  <c r="D157" i="72"/>
  <c r="C57" i="83"/>
  <c r="B46" i="55"/>
  <c r="B103" i="55"/>
  <c r="E211" i="53"/>
  <c r="C56" i="83"/>
  <c r="B45" i="55"/>
  <c r="B102" i="55"/>
  <c r="H126" i="83"/>
  <c r="I57" i="53"/>
  <c r="I110" i="53"/>
  <c r="H57" i="53"/>
  <c r="H110" i="53"/>
  <c r="D230" i="53"/>
  <c r="D163" i="53"/>
  <c r="D67" i="83"/>
  <c r="C56" i="55"/>
  <c r="C113" i="55"/>
  <c r="E158" i="53"/>
  <c r="E225" i="53"/>
  <c r="D234" i="53"/>
  <c r="D167" i="53"/>
  <c r="D120" i="83"/>
  <c r="D51" i="53"/>
  <c r="D104" i="53"/>
  <c r="E172" i="53"/>
  <c r="E175" i="53"/>
  <c r="E239" i="53"/>
  <c r="C90" i="83"/>
  <c r="B29" i="84"/>
  <c r="B60" i="84"/>
  <c r="D80" i="83"/>
  <c r="C19" i="84"/>
  <c r="C50" i="84"/>
  <c r="E177" i="53"/>
  <c r="E241" i="53"/>
  <c r="C54" i="72"/>
  <c r="E223" i="53"/>
  <c r="E156" i="53"/>
  <c r="D52" i="83"/>
  <c r="C41" i="55"/>
  <c r="C98" i="55"/>
  <c r="C88" i="83"/>
  <c r="B27" i="84"/>
  <c r="B58" i="84"/>
  <c r="D238" i="55"/>
  <c r="I23" i="22"/>
  <c r="F33" i="21"/>
  <c r="G237" i="55"/>
  <c r="E110" i="83"/>
  <c r="E41" i="53"/>
  <c r="E94" i="53"/>
  <c r="C94" i="83"/>
  <c r="B33" i="84"/>
  <c r="C91" i="83"/>
  <c r="B30" i="84"/>
  <c r="B61" i="84"/>
  <c r="H45" i="72"/>
  <c r="G45" i="72"/>
  <c r="D79" i="83"/>
  <c r="C18" i="84"/>
  <c r="C49" i="84"/>
  <c r="E124" i="83"/>
  <c r="E55" i="53"/>
  <c r="E108" i="53"/>
  <c r="C89" i="83"/>
  <c r="B28" i="84"/>
  <c r="B59" i="84"/>
  <c r="D78" i="83"/>
  <c r="C17" i="84"/>
  <c r="C48" i="84"/>
  <c r="D47" i="83"/>
  <c r="C36" i="55"/>
  <c r="C93" i="55"/>
  <c r="D166" i="53"/>
  <c r="D233" i="53"/>
  <c r="E18" i="55"/>
  <c r="F49" i="81"/>
  <c r="E154" i="53"/>
  <c r="E221" i="53"/>
  <c r="H235" i="55"/>
  <c r="D116" i="83"/>
  <c r="D47" i="53"/>
  <c r="D100" i="53"/>
  <c r="D246" i="55"/>
  <c r="C85" i="83"/>
  <c r="B24" i="84"/>
  <c r="B55" i="84"/>
  <c r="D76" i="83"/>
  <c r="C15" i="84"/>
  <c r="C46" i="84"/>
  <c r="C84" i="83"/>
  <c r="B23" i="84"/>
  <c r="B54" i="84"/>
  <c r="H242" i="53"/>
  <c r="H178" i="53"/>
  <c r="D111" i="83"/>
  <c r="D42" i="53"/>
  <c r="D95" i="53"/>
  <c r="D275" i="55"/>
  <c r="B165" i="55"/>
  <c r="D224" i="55"/>
  <c r="E106" i="83"/>
  <c r="E37" i="53"/>
  <c r="E90" i="53"/>
  <c r="D115" i="83"/>
  <c r="D46" i="53"/>
  <c r="D99" i="53"/>
  <c r="D253" i="53"/>
  <c r="D97" i="83"/>
  <c r="C36" i="84"/>
  <c r="C64" i="84"/>
  <c r="E123" i="83"/>
  <c r="E54" i="53"/>
  <c r="E107" i="53"/>
  <c r="E159" i="53"/>
  <c r="E226" i="53"/>
  <c r="D121" i="83"/>
  <c r="D52" i="53"/>
  <c r="D105" i="53"/>
  <c r="E173" i="53"/>
  <c r="B125" i="84"/>
  <c r="B142" i="84"/>
  <c r="D155" i="84"/>
  <c r="B124" i="84"/>
  <c r="B141" i="84"/>
  <c r="D163" i="84"/>
  <c r="B126" i="84"/>
  <c r="B143" i="84"/>
  <c r="D156" i="84"/>
  <c r="D164" i="84"/>
  <c r="D167" i="84"/>
  <c r="F158" i="72"/>
  <c r="D71" i="72"/>
  <c r="D170" i="53"/>
  <c r="D237" i="53"/>
  <c r="B146" i="55"/>
  <c r="D205" i="55"/>
  <c r="D259" i="55"/>
  <c r="E215" i="53"/>
  <c r="D122" i="83"/>
  <c r="D53" i="53"/>
  <c r="D106" i="53"/>
  <c r="E174" i="53"/>
  <c r="F13" i="69"/>
  <c r="H13" i="69"/>
  <c r="E13" i="69"/>
  <c r="E60" i="29"/>
  <c r="F11" i="29"/>
  <c r="D13" i="69"/>
  <c r="C40" i="21"/>
  <c r="G60" i="29"/>
  <c r="K58" i="22"/>
  <c r="L55" i="22"/>
  <c r="F60" i="29"/>
  <c r="G40" i="21"/>
  <c r="I60" i="29"/>
  <c r="J11" i="29"/>
  <c r="J96" i="29"/>
  <c r="H11" i="29"/>
  <c r="K46" i="22"/>
  <c r="K64" i="22"/>
  <c r="L61" i="22"/>
  <c r="K66" i="22"/>
  <c r="B97" i="22"/>
  <c r="L51" i="22"/>
  <c r="M50" i="22"/>
  <c r="M52" i="22"/>
  <c r="N49" i="22"/>
  <c r="E37" i="22"/>
  <c r="L38" i="22"/>
  <c r="K67" i="22"/>
  <c r="D67" i="22"/>
  <c r="E39" i="22"/>
  <c r="C68" i="22"/>
  <c r="D11" i="29"/>
  <c r="C60" i="29"/>
  <c r="B13" i="69"/>
  <c r="B14" i="69"/>
  <c r="E246" i="53"/>
  <c r="F225" i="53"/>
  <c r="F158" i="53"/>
  <c r="E78" i="83"/>
  <c r="D17" i="84"/>
  <c r="D48" i="84"/>
  <c r="D91" i="83"/>
  <c r="C30" i="84"/>
  <c r="C61" i="84"/>
  <c r="D156" i="72"/>
  <c r="B64" i="72"/>
  <c r="D247" i="53"/>
  <c r="F106" i="83"/>
  <c r="F37" i="53"/>
  <c r="F90" i="53"/>
  <c r="E111" i="83"/>
  <c r="E42" i="53"/>
  <c r="E95" i="53"/>
  <c r="D84" i="83"/>
  <c r="C23" i="84"/>
  <c r="C54" i="84"/>
  <c r="E76" i="83"/>
  <c r="D15" i="84"/>
  <c r="D46" i="84"/>
  <c r="E116" i="83"/>
  <c r="E47" i="53"/>
  <c r="E100" i="53"/>
  <c r="C145" i="55"/>
  <c r="E204" i="55"/>
  <c r="E258" i="55"/>
  <c r="F247" i="55"/>
  <c r="F208" i="53"/>
  <c r="E52" i="83"/>
  <c r="D41" i="55"/>
  <c r="D98" i="55"/>
  <c r="F206" i="53"/>
  <c r="E120" i="83"/>
  <c r="E51" i="53"/>
  <c r="E104" i="53"/>
  <c r="F172" i="53"/>
  <c r="B154" i="55"/>
  <c r="D213" i="55"/>
  <c r="D267" i="55"/>
  <c r="B155" i="55"/>
  <c r="D214" i="55"/>
  <c r="D268" i="55"/>
  <c r="F14" i="55"/>
  <c r="G45" i="81"/>
  <c r="E49" i="83"/>
  <c r="D38" i="55"/>
  <c r="D95" i="55"/>
  <c r="F161" i="53"/>
  <c r="F228" i="53"/>
  <c r="E232" i="53"/>
  <c r="E165" i="53"/>
  <c r="E236" i="53"/>
  <c r="E169" i="53"/>
  <c r="H237" i="55"/>
  <c r="B158" i="55"/>
  <c r="D217" i="55"/>
  <c r="D271" i="55"/>
  <c r="E170" i="53"/>
  <c r="E237" i="53"/>
  <c r="F226" i="53"/>
  <c r="F159" i="53"/>
  <c r="D251" i="53"/>
  <c r="D245" i="53"/>
  <c r="D246" i="53"/>
  <c r="E14" i="61"/>
  <c r="B144" i="55"/>
  <c r="D203" i="55"/>
  <c r="D257" i="55"/>
  <c r="I170" i="29"/>
  <c r="I35" i="29"/>
  <c r="I140" i="29"/>
  <c r="I125" i="29"/>
  <c r="I155" i="29"/>
  <c r="D50" i="72"/>
  <c r="B160" i="55"/>
  <c r="D219" i="55"/>
  <c r="D273" i="55"/>
  <c r="D48" i="72"/>
  <c r="E54" i="83"/>
  <c r="D43" i="55"/>
  <c r="D100" i="55"/>
  <c r="F207" i="53"/>
  <c r="E81" i="83"/>
  <c r="D20" i="84"/>
  <c r="D51" i="84"/>
  <c r="E46" i="83"/>
  <c r="D35" i="55"/>
  <c r="D87" i="83"/>
  <c r="C26" i="84"/>
  <c r="C57" i="84"/>
  <c r="K9" i="22"/>
  <c r="K13" i="22"/>
  <c r="K17" i="22"/>
  <c r="K21" i="22"/>
  <c r="K14" i="22"/>
  <c r="K10" i="22"/>
  <c r="K18" i="22"/>
  <c r="K22" i="22"/>
  <c r="K11" i="22"/>
  <c r="K15" i="22"/>
  <c r="K19" i="22"/>
  <c r="K12" i="22"/>
  <c r="K16" i="22"/>
  <c r="K8" i="22"/>
  <c r="K20" i="22"/>
  <c r="J23" i="22"/>
  <c r="G33" i="21"/>
  <c r="F210" i="53"/>
  <c r="E259" i="55"/>
  <c r="C146" i="55"/>
  <c r="E205" i="55"/>
  <c r="J239" i="55"/>
  <c r="I235" i="55"/>
  <c r="E166" i="53"/>
  <c r="E233" i="53"/>
  <c r="F104" i="83"/>
  <c r="F35" i="53"/>
  <c r="F88" i="53"/>
  <c r="C47" i="55"/>
  <c r="C104" i="55"/>
  <c r="D58" i="83"/>
  <c r="E75" i="83"/>
  <c r="D14" i="84"/>
  <c r="F105" i="83"/>
  <c r="F36" i="53"/>
  <c r="F89" i="53"/>
  <c r="E168" i="53"/>
  <c r="E235" i="53"/>
  <c r="M51" i="22"/>
  <c r="E122" i="83"/>
  <c r="E53" i="53"/>
  <c r="E106" i="53"/>
  <c r="F174" i="53"/>
  <c r="F239" i="53"/>
  <c r="F175" i="53"/>
  <c r="E234" i="53"/>
  <c r="E167" i="53"/>
  <c r="F211" i="53"/>
  <c r="E157" i="72"/>
  <c r="C79" i="72"/>
  <c r="G49" i="81"/>
  <c r="F18" i="55"/>
  <c r="E47" i="83"/>
  <c r="D36" i="55"/>
  <c r="D93" i="55"/>
  <c r="D89" i="83"/>
  <c r="C28" i="84"/>
  <c r="C59" i="84"/>
  <c r="E79" i="83"/>
  <c r="D18" i="84"/>
  <c r="D49" i="84"/>
  <c r="C33" i="84"/>
  <c r="D94" i="83"/>
  <c r="D54" i="72"/>
  <c r="E80" i="83"/>
  <c r="D19" i="84"/>
  <c r="D50" i="84"/>
  <c r="D90" i="83"/>
  <c r="C29" i="84"/>
  <c r="C60" i="84"/>
  <c r="D56" i="83"/>
  <c r="C45" i="55"/>
  <c r="C102" i="55"/>
  <c r="D57" i="83"/>
  <c r="C46" i="55"/>
  <c r="C103" i="55"/>
  <c r="D164" i="72"/>
  <c r="D163" i="72"/>
  <c r="F209" i="53"/>
  <c r="F109" i="83"/>
  <c r="F40" i="53"/>
  <c r="F93" i="53"/>
  <c r="E113" i="83"/>
  <c r="E44" i="53"/>
  <c r="E97" i="53"/>
  <c r="E117" i="83"/>
  <c r="E48" i="53"/>
  <c r="E101" i="53"/>
  <c r="D60" i="83"/>
  <c r="C49" i="55"/>
  <c r="C106" i="55"/>
  <c r="D52" i="72"/>
  <c r="E118" i="83"/>
  <c r="E49" i="53"/>
  <c r="E102" i="53"/>
  <c r="F107" i="83"/>
  <c r="F38" i="53"/>
  <c r="F91" i="53"/>
  <c r="C31" i="84"/>
  <c r="D92" i="83"/>
  <c r="E251" i="55"/>
  <c r="F250" i="55"/>
  <c r="C51" i="55"/>
  <c r="C108" i="55"/>
  <c r="D62" i="83"/>
  <c r="C152" i="55"/>
  <c r="E211" i="55"/>
  <c r="E265" i="55"/>
  <c r="D35" i="84"/>
  <c r="D63" i="84"/>
  <c r="E96" i="83"/>
  <c r="E50" i="83"/>
  <c r="D39" i="55"/>
  <c r="D96" i="55"/>
  <c r="J241" i="55"/>
  <c r="E243" i="55"/>
  <c r="F198" i="53"/>
  <c r="E238" i="53"/>
  <c r="E171" i="53"/>
  <c r="F222" i="53"/>
  <c r="F155" i="53"/>
  <c r="E277" i="55"/>
  <c r="C167" i="55"/>
  <c r="E226" i="55"/>
  <c r="B39" i="84"/>
  <c r="B12" i="84"/>
  <c r="E155" i="72"/>
  <c r="C96" i="72"/>
  <c r="C151" i="55"/>
  <c r="E210" i="55"/>
  <c r="E264" i="55"/>
  <c r="D86" i="83"/>
  <c r="C25" i="84"/>
  <c r="C56" i="84"/>
  <c r="E48" i="83"/>
  <c r="D37" i="55"/>
  <c r="D94" i="55"/>
  <c r="I239" i="55"/>
  <c r="J235" i="55"/>
  <c r="E114" i="83"/>
  <c r="E45" i="53"/>
  <c r="E98" i="53"/>
  <c r="F241" i="53"/>
  <c r="F177" i="53"/>
  <c r="B157" i="55"/>
  <c r="D216" i="55"/>
  <c r="D270" i="55"/>
  <c r="D168" i="84"/>
  <c r="D169" i="84"/>
  <c r="D154" i="84"/>
  <c r="D159" i="84"/>
  <c r="D159" i="72"/>
  <c r="B12" i="72"/>
  <c r="E163" i="53"/>
  <c r="E230" i="53"/>
  <c r="D234" i="55"/>
  <c r="F124" i="83"/>
  <c r="F55" i="53"/>
  <c r="F108" i="53"/>
  <c r="F110" i="83"/>
  <c r="F41" i="53"/>
  <c r="F94" i="53"/>
  <c r="E263" i="55"/>
  <c r="C150" i="55"/>
  <c r="E209" i="55"/>
  <c r="E121" i="83"/>
  <c r="E52" i="53"/>
  <c r="E105" i="53"/>
  <c r="F173" i="53"/>
  <c r="F123" i="83"/>
  <c r="F54" i="53"/>
  <c r="F107" i="53"/>
  <c r="E97" i="83"/>
  <c r="D36" i="84"/>
  <c r="D64" i="84"/>
  <c r="E115" i="83"/>
  <c r="E46" i="53"/>
  <c r="E99" i="53"/>
  <c r="D85" i="83"/>
  <c r="C24" i="84"/>
  <c r="C55" i="84"/>
  <c r="G240" i="55"/>
  <c r="B10" i="55"/>
  <c r="F176" i="53"/>
  <c r="F240" i="53"/>
  <c r="F162" i="53"/>
  <c r="F229" i="53"/>
  <c r="F202" i="53"/>
  <c r="G146" i="29"/>
  <c r="G131" i="29"/>
  <c r="G161" i="29"/>
  <c r="G176" i="29"/>
  <c r="G24" i="68"/>
  <c r="D88" i="83"/>
  <c r="C27" i="84"/>
  <c r="C58" i="84"/>
  <c r="F216" i="53"/>
  <c r="F213" i="53"/>
  <c r="F217" i="53"/>
  <c r="E275" i="55"/>
  <c r="C165" i="55"/>
  <c r="E224" i="55"/>
  <c r="I242" i="53"/>
  <c r="I178" i="53"/>
  <c r="E82" i="83"/>
  <c r="D21" i="84"/>
  <c r="D52" i="84"/>
  <c r="B159" i="55"/>
  <c r="D218" i="55"/>
  <c r="D272" i="55"/>
  <c r="B161" i="55"/>
  <c r="D220" i="55"/>
  <c r="D274" i="55"/>
  <c r="D16" i="55"/>
  <c r="E47" i="81"/>
  <c r="F215" i="53"/>
  <c r="G158" i="72"/>
  <c r="E71" i="72"/>
  <c r="D93" i="83"/>
  <c r="C32" i="84"/>
  <c r="E164" i="53"/>
  <c r="E231" i="53"/>
  <c r="E261" i="55"/>
  <c r="C148" i="55"/>
  <c r="E207" i="55"/>
  <c r="I241" i="55"/>
  <c r="E242" i="55"/>
  <c r="E119" i="83"/>
  <c r="E50" i="53"/>
  <c r="E103" i="53"/>
  <c r="F103" i="83"/>
  <c r="F34" i="53"/>
  <c r="F87" i="53"/>
  <c r="E69" i="83"/>
  <c r="D58" i="55"/>
  <c r="D115" i="55"/>
  <c r="C149" i="55"/>
  <c r="E208" i="55"/>
  <c r="E262" i="55"/>
  <c r="E53" i="83"/>
  <c r="D42" i="55"/>
  <c r="D99" i="55"/>
  <c r="F160" i="53"/>
  <c r="F227" i="53"/>
  <c r="C126" i="84"/>
  <c r="C143" i="84"/>
  <c r="E156" i="84"/>
  <c r="C125" i="84"/>
  <c r="C142" i="84"/>
  <c r="E155" i="84"/>
  <c r="E164" i="84"/>
  <c r="E167" i="84"/>
  <c r="C124" i="84"/>
  <c r="C141" i="84"/>
  <c r="E163" i="84"/>
  <c r="B153" i="55"/>
  <c r="D212" i="55"/>
  <c r="D266" i="55"/>
  <c r="C166" i="55"/>
  <c r="E225" i="55"/>
  <c r="E276" i="55"/>
  <c r="F221" i="53"/>
  <c r="F154" i="53"/>
  <c r="H233" i="55"/>
  <c r="F125" i="83"/>
  <c r="F56" i="53"/>
  <c r="F109" i="53"/>
  <c r="D59" i="83"/>
  <c r="C48" i="55"/>
  <c r="C105" i="55"/>
  <c r="E67" i="83"/>
  <c r="D56" i="55"/>
  <c r="D113" i="55"/>
  <c r="J242" i="53"/>
  <c r="J178" i="53"/>
  <c r="E246" i="55"/>
  <c r="G236" i="55"/>
  <c r="C147" i="55"/>
  <c r="E206" i="55"/>
  <c r="E260" i="55"/>
  <c r="E43" i="81"/>
  <c r="D12" i="55"/>
  <c r="D61" i="83"/>
  <c r="C50" i="55"/>
  <c r="C107" i="55"/>
  <c r="D63" i="83"/>
  <c r="C52" i="55"/>
  <c r="C109" i="55"/>
  <c r="E238" i="55"/>
  <c r="E253" i="55"/>
  <c r="B61" i="55"/>
  <c r="E249" i="55"/>
  <c r="D51" i="72"/>
  <c r="E112" i="83"/>
  <c r="E43" i="53"/>
  <c r="E96" i="53"/>
  <c r="D49" i="72"/>
  <c r="D83" i="83"/>
  <c r="C22" i="84"/>
  <c r="C53" i="84"/>
  <c r="D53" i="72"/>
  <c r="F252" i="55"/>
  <c r="F212" i="53"/>
  <c r="C92" i="55"/>
  <c r="E245" i="55"/>
  <c r="F44" i="72"/>
  <c r="E51" i="83"/>
  <c r="D40" i="55"/>
  <c r="D97" i="55"/>
  <c r="F244" i="55"/>
  <c r="F108" i="83"/>
  <c r="F39" i="53"/>
  <c r="F92" i="53"/>
  <c r="E77" i="83"/>
  <c r="D16" i="84"/>
  <c r="D47" i="84"/>
  <c r="E95" i="83"/>
  <c r="D34" i="84"/>
  <c r="D62" i="84"/>
  <c r="D55" i="83"/>
  <c r="C44" i="55"/>
  <c r="C101" i="55"/>
  <c r="D55" i="72"/>
  <c r="D57" i="55"/>
  <c r="D114" i="55"/>
  <c r="E68" i="83"/>
  <c r="F102" i="83"/>
  <c r="F33" i="53"/>
  <c r="F86" i="53"/>
  <c r="E248" i="55"/>
  <c r="F156" i="53"/>
  <c r="F223" i="53"/>
  <c r="B156" i="55"/>
  <c r="D215" i="55"/>
  <c r="D269" i="55"/>
  <c r="C39" i="84"/>
  <c r="C45" i="84"/>
  <c r="F224" i="53"/>
  <c r="F157" i="53"/>
  <c r="D254" i="53"/>
  <c r="D60" i="29"/>
  <c r="E11" i="29"/>
  <c r="L56" i="22"/>
  <c r="L57" i="22"/>
  <c r="I11" i="29"/>
  <c r="H60" i="29"/>
  <c r="I96" i="29"/>
  <c r="D46" i="22"/>
  <c r="D65" i="22"/>
  <c r="C12" i="69"/>
  <c r="C14" i="69"/>
  <c r="L43" i="22"/>
  <c r="K68" i="22"/>
  <c r="L62" i="22"/>
  <c r="L63" i="22"/>
  <c r="N50" i="22"/>
  <c r="N51" i="22"/>
  <c r="F39" i="22"/>
  <c r="E67" i="22"/>
  <c r="L40" i="22"/>
  <c r="L39" i="22"/>
  <c r="E40" i="22"/>
  <c r="L58" i="22"/>
  <c r="M55" i="22"/>
  <c r="F251" i="53"/>
  <c r="F5" i="61"/>
  <c r="D260" i="53"/>
  <c r="D262" i="53"/>
  <c r="E250" i="53"/>
  <c r="F276" i="55"/>
  <c r="D166" i="55"/>
  <c r="F225" i="55"/>
  <c r="E55" i="83"/>
  <c r="D44" i="55"/>
  <c r="D101" i="55"/>
  <c r="F77" i="83"/>
  <c r="E16" i="84"/>
  <c r="E47" i="84"/>
  <c r="H44" i="72"/>
  <c r="G44" i="72"/>
  <c r="G215" i="53"/>
  <c r="E63" i="83"/>
  <c r="D52" i="55"/>
  <c r="D109" i="55"/>
  <c r="E61" i="83"/>
  <c r="D50" i="55"/>
  <c r="D107" i="55"/>
  <c r="E56" i="55"/>
  <c r="E113" i="55"/>
  <c r="F67" i="83"/>
  <c r="G56" i="53"/>
  <c r="G109" i="53"/>
  <c r="G125" i="83"/>
  <c r="F53" i="83"/>
  <c r="E42" i="55"/>
  <c r="E99" i="55"/>
  <c r="G34" i="53"/>
  <c r="G87" i="53"/>
  <c r="G103" i="83"/>
  <c r="E251" i="53"/>
  <c r="E245" i="53"/>
  <c r="E247" i="53"/>
  <c r="F14" i="61"/>
  <c r="F47" i="81"/>
  <c r="E16" i="55"/>
  <c r="G209" i="53"/>
  <c r="F97" i="83"/>
  <c r="E36" i="84"/>
  <c r="E64" i="84"/>
  <c r="F121" i="83"/>
  <c r="F52" i="53"/>
  <c r="F105" i="53"/>
  <c r="G173" i="53"/>
  <c r="G110" i="83"/>
  <c r="G41" i="53"/>
  <c r="G94" i="53"/>
  <c r="F48" i="83"/>
  <c r="E37" i="55"/>
  <c r="E94" i="55"/>
  <c r="D25" i="84"/>
  <c r="D56" i="84"/>
  <c r="E86" i="83"/>
  <c r="D165" i="84"/>
  <c r="D166" i="84"/>
  <c r="F96" i="83"/>
  <c r="E35" i="84"/>
  <c r="E63" i="84"/>
  <c r="G226" i="53"/>
  <c r="G159" i="53"/>
  <c r="E52" i="72"/>
  <c r="J237" i="55"/>
  <c r="F165" i="53"/>
  <c r="F232" i="53"/>
  <c r="E56" i="83"/>
  <c r="D45" i="55"/>
  <c r="D102" i="55"/>
  <c r="E156" i="72"/>
  <c r="C64" i="72"/>
  <c r="F80" i="83"/>
  <c r="E19" i="84"/>
  <c r="E50" i="84"/>
  <c r="G206" i="53"/>
  <c r="F79" i="83"/>
  <c r="E18" i="84"/>
  <c r="E49" i="84"/>
  <c r="F47" i="83"/>
  <c r="E36" i="55"/>
  <c r="E93" i="55"/>
  <c r="D45" i="84"/>
  <c r="G223" i="53"/>
  <c r="G156" i="53"/>
  <c r="F245" i="55"/>
  <c r="G252" i="55"/>
  <c r="F54" i="83"/>
  <c r="E43" i="55"/>
  <c r="E100" i="55"/>
  <c r="D147" i="55"/>
  <c r="F206" i="55"/>
  <c r="F260" i="55"/>
  <c r="F263" i="55"/>
  <c r="D150" i="55"/>
  <c r="F209" i="55"/>
  <c r="F168" i="53"/>
  <c r="F235" i="53"/>
  <c r="G158" i="53"/>
  <c r="G225" i="53"/>
  <c r="E91" i="83"/>
  <c r="D30" i="84"/>
  <c r="D61" i="84"/>
  <c r="E49" i="72"/>
  <c r="C157" i="55"/>
  <c r="E216" i="55"/>
  <c r="E270" i="55"/>
  <c r="F155" i="72"/>
  <c r="D96" i="72"/>
  <c r="F277" i="55"/>
  <c r="D167" i="55"/>
  <c r="F226" i="55"/>
  <c r="F238" i="53"/>
  <c r="F171" i="53"/>
  <c r="F243" i="55"/>
  <c r="F238" i="55"/>
  <c r="F246" i="55"/>
  <c r="F234" i="53"/>
  <c r="F167" i="53"/>
  <c r="G239" i="53"/>
  <c r="G175" i="53"/>
  <c r="G240" i="53"/>
  <c r="G176" i="53"/>
  <c r="D162" i="72"/>
  <c r="F166" i="53"/>
  <c r="F233" i="53"/>
  <c r="G210" i="53"/>
  <c r="G38" i="53"/>
  <c r="G91" i="53"/>
  <c r="G107" i="83"/>
  <c r="I237" i="55"/>
  <c r="F113" i="83"/>
  <c r="F44" i="53"/>
  <c r="F97" i="53"/>
  <c r="E268" i="55"/>
  <c r="C155" i="55"/>
  <c r="E214" i="55"/>
  <c r="B10" i="21"/>
  <c r="G208" i="53"/>
  <c r="G247" i="55"/>
  <c r="H240" i="55"/>
  <c r="E163" i="72"/>
  <c r="E164" i="72"/>
  <c r="F53" i="53"/>
  <c r="F106" i="53"/>
  <c r="G174" i="53"/>
  <c r="F122" i="83"/>
  <c r="F75" i="83"/>
  <c r="E14" i="84"/>
  <c r="G35" i="53"/>
  <c r="G88" i="53"/>
  <c r="G104" i="83"/>
  <c r="I233" i="55"/>
  <c r="E87" i="83"/>
  <c r="D26" i="84"/>
  <c r="D57" i="84"/>
  <c r="D92" i="55"/>
  <c r="E48" i="72"/>
  <c r="F251" i="55"/>
  <c r="F49" i="83"/>
  <c r="E38" i="55"/>
  <c r="E95" i="55"/>
  <c r="F120" i="83"/>
  <c r="F51" i="53"/>
  <c r="F104" i="53"/>
  <c r="G172" i="53"/>
  <c r="F52" i="83"/>
  <c r="E41" i="55"/>
  <c r="E98" i="55"/>
  <c r="F116" i="83"/>
  <c r="F47" i="53"/>
  <c r="F100" i="53"/>
  <c r="E84" i="83"/>
  <c r="D23" i="84"/>
  <c r="D54" i="84"/>
  <c r="G106" i="83"/>
  <c r="G37" i="53"/>
  <c r="G90" i="53"/>
  <c r="G202" i="53"/>
  <c r="G154" i="53"/>
  <c r="G221" i="53"/>
  <c r="D126" i="84"/>
  <c r="D143" i="84"/>
  <c r="F156" i="84"/>
  <c r="F163" i="84"/>
  <c r="F167" i="84"/>
  <c r="D124" i="84"/>
  <c r="D141" i="84"/>
  <c r="F164" i="84"/>
  <c r="D125" i="84"/>
  <c r="D142" i="84"/>
  <c r="F155" i="84"/>
  <c r="G227" i="53"/>
  <c r="G160" i="53"/>
  <c r="D149" i="55"/>
  <c r="F208" i="55"/>
  <c r="F262" i="55"/>
  <c r="E53" i="72"/>
  <c r="E51" i="72"/>
  <c r="F71" i="72"/>
  <c r="H158" i="72"/>
  <c r="H131" i="29"/>
  <c r="H24" i="68"/>
  <c r="H146" i="29"/>
  <c r="H176" i="29"/>
  <c r="H161" i="29"/>
  <c r="C42" i="84"/>
  <c r="C12" i="84"/>
  <c r="G102" i="83"/>
  <c r="G33" i="53"/>
  <c r="G86" i="53"/>
  <c r="E55" i="72"/>
  <c r="F95" i="83"/>
  <c r="E34" i="84"/>
  <c r="E62" i="84"/>
  <c r="G108" i="83"/>
  <c r="G39" i="53"/>
  <c r="G92" i="53"/>
  <c r="E40" i="55"/>
  <c r="E97" i="55"/>
  <c r="F51" i="83"/>
  <c r="C61" i="55"/>
  <c r="F164" i="53"/>
  <c r="F231" i="53"/>
  <c r="F43" i="81"/>
  <c r="E12" i="55"/>
  <c r="E59" i="83"/>
  <c r="D48" i="55"/>
  <c r="D105" i="55"/>
  <c r="E154" i="84"/>
  <c r="E159" i="84"/>
  <c r="E169" i="84"/>
  <c r="E168" i="84"/>
  <c r="G244" i="55"/>
  <c r="E58" i="55"/>
  <c r="E115" i="55"/>
  <c r="F69" i="83"/>
  <c r="F119" i="83"/>
  <c r="F50" i="53"/>
  <c r="F103" i="53"/>
  <c r="D32" i="84"/>
  <c r="E93" i="83"/>
  <c r="C10" i="55"/>
  <c r="E85" i="83"/>
  <c r="D24" i="84"/>
  <c r="D55" i="84"/>
  <c r="F115" i="83"/>
  <c r="F46" i="53"/>
  <c r="F99" i="53"/>
  <c r="G54" i="53"/>
  <c r="G107" i="53"/>
  <c r="G123" i="83"/>
  <c r="G55" i="53"/>
  <c r="G108" i="53"/>
  <c r="G124" i="83"/>
  <c r="E34" i="61"/>
  <c r="B11" i="21"/>
  <c r="F114" i="83"/>
  <c r="F45" i="53"/>
  <c r="F98" i="53"/>
  <c r="J233" i="55"/>
  <c r="F254" i="53"/>
  <c r="D148" i="55"/>
  <c r="F207" i="55"/>
  <c r="F261" i="55"/>
  <c r="G207" i="53"/>
  <c r="E62" i="83"/>
  <c r="D51" i="55"/>
  <c r="D108" i="55"/>
  <c r="E92" i="83"/>
  <c r="D31" i="84"/>
  <c r="F237" i="53"/>
  <c r="F170" i="53"/>
  <c r="E271" i="55"/>
  <c r="C158" i="55"/>
  <c r="E217" i="55"/>
  <c r="F236" i="53"/>
  <c r="F169" i="53"/>
  <c r="G228" i="53"/>
  <c r="G161" i="53"/>
  <c r="E57" i="83"/>
  <c r="D46" i="55"/>
  <c r="D103" i="55"/>
  <c r="E90" i="83"/>
  <c r="D29" i="84"/>
  <c r="D60" i="84"/>
  <c r="E54" i="72"/>
  <c r="E89" i="83"/>
  <c r="D28" i="84"/>
  <c r="D59" i="84"/>
  <c r="H49" i="81"/>
  <c r="H18" i="55"/>
  <c r="G18" i="55"/>
  <c r="G224" i="53"/>
  <c r="G157" i="53"/>
  <c r="E58" i="83"/>
  <c r="D47" i="55"/>
  <c r="D104" i="55"/>
  <c r="F248" i="55"/>
  <c r="K23" i="22"/>
  <c r="H33" i="21"/>
  <c r="E35" i="55"/>
  <c r="F46" i="83"/>
  <c r="F81" i="83"/>
  <c r="E20" i="84"/>
  <c r="E51" i="84"/>
  <c r="E50" i="72"/>
  <c r="F249" i="55"/>
  <c r="H45" i="81"/>
  <c r="H14" i="55"/>
  <c r="G14" i="55"/>
  <c r="F230" i="53"/>
  <c r="F163" i="53"/>
  <c r="F78" i="83"/>
  <c r="E17" i="84"/>
  <c r="E48" i="84"/>
  <c r="F68" i="83"/>
  <c r="E57" i="55"/>
  <c r="E114" i="55"/>
  <c r="C153" i="55"/>
  <c r="E212" i="55"/>
  <c r="E266" i="55"/>
  <c r="C144" i="55"/>
  <c r="E203" i="55"/>
  <c r="E257" i="55"/>
  <c r="E83" i="83"/>
  <c r="D22" i="84"/>
  <c r="D53" i="84"/>
  <c r="F112" i="83"/>
  <c r="F43" i="53"/>
  <c r="F96" i="53"/>
  <c r="C161" i="55"/>
  <c r="E220" i="55"/>
  <c r="E274" i="55"/>
  <c r="E272" i="55"/>
  <c r="C159" i="55"/>
  <c r="E218" i="55"/>
  <c r="F275" i="55"/>
  <c r="D165" i="55"/>
  <c r="F224" i="55"/>
  <c r="G241" i="53"/>
  <c r="G177" i="53"/>
  <c r="D151" i="55"/>
  <c r="F210" i="55"/>
  <c r="F264" i="55"/>
  <c r="G222" i="53"/>
  <c r="G155" i="53"/>
  <c r="G198" i="53"/>
  <c r="E254" i="53"/>
  <c r="E234" i="55"/>
  <c r="F82" i="83"/>
  <c r="E21" i="84"/>
  <c r="E52" i="84"/>
  <c r="E88" i="83"/>
  <c r="D27" i="84"/>
  <c r="D58" i="84"/>
  <c r="D282" i="55"/>
  <c r="F157" i="72"/>
  <c r="D79" i="72"/>
  <c r="G211" i="53"/>
  <c r="G216" i="53"/>
  <c r="G162" i="53"/>
  <c r="G229" i="53"/>
  <c r="D285" i="55"/>
  <c r="D284" i="55"/>
  <c r="D160" i="72"/>
  <c r="D161" i="72"/>
  <c r="F259" i="55"/>
  <c r="D146" i="55"/>
  <c r="F205" i="55"/>
  <c r="F253" i="53"/>
  <c r="F242" i="55"/>
  <c r="F50" i="83"/>
  <c r="E39" i="55"/>
  <c r="E96" i="55"/>
  <c r="C160" i="55"/>
  <c r="E219" i="55"/>
  <c r="E273" i="55"/>
  <c r="F118" i="83"/>
  <c r="F49" i="53"/>
  <c r="F102" i="53"/>
  <c r="E60" i="83"/>
  <c r="D49" i="55"/>
  <c r="D106" i="55"/>
  <c r="F117" i="83"/>
  <c r="F48" i="53"/>
  <c r="F101" i="53"/>
  <c r="G40" i="53"/>
  <c r="G93" i="53"/>
  <c r="G109" i="83"/>
  <c r="E267" i="55"/>
  <c r="C154" i="55"/>
  <c r="E213" i="55"/>
  <c r="C12" i="72"/>
  <c r="E159" i="72"/>
  <c r="E94" i="83"/>
  <c r="D33" i="84"/>
  <c r="D145" i="55"/>
  <c r="F204" i="55"/>
  <c r="F258" i="55"/>
  <c r="G217" i="53"/>
  <c r="G105" i="83"/>
  <c r="G36" i="53"/>
  <c r="G89" i="53"/>
  <c r="C156" i="55"/>
  <c r="E215" i="55"/>
  <c r="E269" i="55"/>
  <c r="G212" i="53"/>
  <c r="D152" i="55"/>
  <c r="F211" i="55"/>
  <c r="F265" i="55"/>
  <c r="G250" i="55"/>
  <c r="E253" i="53"/>
  <c r="F253" i="55"/>
  <c r="H236" i="55"/>
  <c r="F76" i="83"/>
  <c r="E15" i="84"/>
  <c r="E46" i="84"/>
  <c r="F111" i="83"/>
  <c r="F42" i="53"/>
  <c r="F95" i="53"/>
  <c r="G213" i="53"/>
  <c r="M56" i="22"/>
  <c r="M57" i="22"/>
  <c r="L64" i="22"/>
  <c r="M61" i="22"/>
  <c r="M62" i="22"/>
  <c r="M63" i="22"/>
  <c r="N52" i="22"/>
  <c r="O49" i="22"/>
  <c r="O50" i="22"/>
  <c r="O51" i="22"/>
  <c r="E43" i="22"/>
  <c r="D68" i="22"/>
  <c r="L44" i="22"/>
  <c r="L65" i="22"/>
  <c r="M37" i="22"/>
  <c r="F37" i="22"/>
  <c r="F67" i="22"/>
  <c r="G39" i="22"/>
  <c r="D177" i="84"/>
  <c r="D186" i="84"/>
  <c r="D188" i="84"/>
  <c r="C10" i="21"/>
  <c r="E260" i="53"/>
  <c r="G5" i="61"/>
  <c r="G245" i="55"/>
  <c r="H228" i="53"/>
  <c r="H161" i="53"/>
  <c r="F60" i="83"/>
  <c r="E49" i="55"/>
  <c r="E106" i="55"/>
  <c r="G50" i="83"/>
  <c r="F39" i="55"/>
  <c r="F96" i="55"/>
  <c r="G276" i="55"/>
  <c r="E166" i="55"/>
  <c r="G225" i="55"/>
  <c r="I236" i="55"/>
  <c r="G234" i="53"/>
  <c r="G167" i="53"/>
  <c r="G238" i="53"/>
  <c r="G171" i="53"/>
  <c r="H102" i="83"/>
  <c r="I33" i="53"/>
  <c r="I86" i="53"/>
  <c r="H33" i="53"/>
  <c r="H86" i="53"/>
  <c r="H158" i="53"/>
  <c r="H225" i="53"/>
  <c r="G75" i="83"/>
  <c r="F14" i="84"/>
  <c r="D10" i="55"/>
  <c r="E152" i="55"/>
  <c r="G211" i="55"/>
  <c r="G265" i="55"/>
  <c r="H212" i="53"/>
  <c r="H217" i="53"/>
  <c r="F52" i="72"/>
  <c r="G96" i="83"/>
  <c r="F35" i="84"/>
  <c r="F63" i="84"/>
  <c r="E47" i="61"/>
  <c r="G48" i="83"/>
  <c r="F37" i="55"/>
  <c r="F94" i="55"/>
  <c r="G97" i="83"/>
  <c r="F36" i="84"/>
  <c r="F64" i="84"/>
  <c r="E79" i="72"/>
  <c r="G157" i="72"/>
  <c r="H222" i="53"/>
  <c r="H155" i="53"/>
  <c r="H241" i="53"/>
  <c r="H177" i="53"/>
  <c r="F61" i="83"/>
  <c r="E50" i="55"/>
  <c r="E107" i="55"/>
  <c r="G77" i="83"/>
  <c r="F16" i="84"/>
  <c r="F47" i="84"/>
  <c r="H252" i="55"/>
  <c r="G76" i="83"/>
  <c r="F15" i="84"/>
  <c r="F46" i="84"/>
  <c r="H224" i="53"/>
  <c r="H157" i="53"/>
  <c r="E160" i="72"/>
  <c r="E161" i="72"/>
  <c r="G112" i="83"/>
  <c r="G43" i="53"/>
  <c r="G96" i="53"/>
  <c r="G46" i="83"/>
  <c r="F35" i="55"/>
  <c r="G166" i="53"/>
  <c r="G233" i="53"/>
  <c r="F159" i="72"/>
  <c r="D12" i="72"/>
  <c r="G155" i="72"/>
  <c r="E96" i="72"/>
  <c r="F34" i="84"/>
  <c r="F62" i="84"/>
  <c r="G95" i="83"/>
  <c r="F51" i="72"/>
  <c r="G168" i="53"/>
  <c r="G235" i="53"/>
  <c r="G230" i="53"/>
  <c r="G163" i="53"/>
  <c r="G248" i="55"/>
  <c r="H105" i="83"/>
  <c r="I36" i="53"/>
  <c r="I89" i="53"/>
  <c r="H36" i="53"/>
  <c r="H89" i="53"/>
  <c r="G236" i="53"/>
  <c r="G169" i="53"/>
  <c r="G170" i="53"/>
  <c r="G237" i="53"/>
  <c r="H207" i="53"/>
  <c r="F247" i="53"/>
  <c r="E16" i="61"/>
  <c r="B6" i="21"/>
  <c r="G68" i="83"/>
  <c r="F57" i="55"/>
  <c r="F114" i="55"/>
  <c r="J236" i="55"/>
  <c r="F50" i="72"/>
  <c r="E92" i="55"/>
  <c r="D156" i="55"/>
  <c r="F215" i="55"/>
  <c r="F269" i="55"/>
  <c r="I240" i="55"/>
  <c r="F54" i="72"/>
  <c r="D155" i="55"/>
  <c r="F214" i="55"/>
  <c r="F268" i="55"/>
  <c r="D160" i="55"/>
  <c r="F219" i="55"/>
  <c r="F273" i="55"/>
  <c r="G114" i="83"/>
  <c r="G45" i="53"/>
  <c r="G98" i="53"/>
  <c r="H176" i="53"/>
  <c r="H240" i="53"/>
  <c r="G46" i="53"/>
  <c r="G99" i="53"/>
  <c r="G115" i="83"/>
  <c r="D64" i="72"/>
  <c r="F156" i="72"/>
  <c r="G50" i="53"/>
  <c r="G103" i="53"/>
  <c r="G119" i="83"/>
  <c r="G43" i="81"/>
  <c r="F12" i="55"/>
  <c r="H160" i="53"/>
  <c r="H227" i="53"/>
  <c r="E165" i="84"/>
  <c r="E166" i="84"/>
  <c r="H106" i="83"/>
  <c r="I37" i="53"/>
  <c r="I90" i="53"/>
  <c r="H37" i="53"/>
  <c r="H90" i="53"/>
  <c r="G47" i="53"/>
  <c r="G100" i="53"/>
  <c r="G116" i="83"/>
  <c r="G51" i="53"/>
  <c r="G104" i="53"/>
  <c r="H172" i="53"/>
  <c r="G120" i="83"/>
  <c r="G249" i="55"/>
  <c r="F48" i="72"/>
  <c r="F87" i="83"/>
  <c r="E26" i="84"/>
  <c r="E57" i="84"/>
  <c r="H104" i="83"/>
  <c r="I35" i="53"/>
  <c r="I88" i="53"/>
  <c r="H35" i="53"/>
  <c r="H88" i="53"/>
  <c r="G53" i="53"/>
  <c r="G106" i="53"/>
  <c r="H174" i="53"/>
  <c r="G122" i="83"/>
  <c r="C156" i="29"/>
  <c r="C141" i="29"/>
  <c r="C126" i="29"/>
  <c r="C171" i="29"/>
  <c r="C36" i="29"/>
  <c r="G232" i="53"/>
  <c r="G165" i="53"/>
  <c r="H107" i="83"/>
  <c r="I38" i="53"/>
  <c r="I91" i="53"/>
  <c r="H38" i="53"/>
  <c r="H91" i="53"/>
  <c r="H209" i="53"/>
  <c r="F234" i="55"/>
  <c r="F91" i="83"/>
  <c r="E30" i="84"/>
  <c r="E61" i="84"/>
  <c r="G54" i="83"/>
  <c r="F43" i="55"/>
  <c r="F100" i="55"/>
  <c r="G79" i="83"/>
  <c r="F18" i="84"/>
  <c r="F49" i="84"/>
  <c r="G80" i="83"/>
  <c r="F19" i="84"/>
  <c r="F50" i="84"/>
  <c r="F267" i="55"/>
  <c r="D154" i="55"/>
  <c r="F213" i="55"/>
  <c r="F246" i="53"/>
  <c r="F86" i="83"/>
  <c r="E25" i="84"/>
  <c r="E56" i="84"/>
  <c r="H162" i="53"/>
  <c r="H229" i="53"/>
  <c r="H211" i="53"/>
  <c r="G246" i="55"/>
  <c r="G238" i="55"/>
  <c r="H198" i="53"/>
  <c r="E151" i="55"/>
  <c r="G210" i="55"/>
  <c r="G264" i="55"/>
  <c r="F56" i="55"/>
  <c r="F113" i="55"/>
  <c r="G67" i="83"/>
  <c r="D161" i="55"/>
  <c r="F220" i="55"/>
  <c r="F274" i="55"/>
  <c r="D153" i="55"/>
  <c r="F212" i="55"/>
  <c r="F266" i="55"/>
  <c r="H215" i="53"/>
  <c r="H206" i="53"/>
  <c r="F163" i="72"/>
  <c r="F164" i="72"/>
  <c r="G246" i="53"/>
  <c r="H202" i="53"/>
  <c r="E28" i="84"/>
  <c r="E59" i="84"/>
  <c r="F89" i="83"/>
  <c r="F90" i="83"/>
  <c r="E29" i="84"/>
  <c r="E60" i="84"/>
  <c r="F92" i="83"/>
  <c r="E31" i="84"/>
  <c r="H210" i="53"/>
  <c r="H124" i="83"/>
  <c r="I55" i="53"/>
  <c r="I108" i="53"/>
  <c r="H55" i="53"/>
  <c r="H108" i="53"/>
  <c r="E32" i="84"/>
  <c r="F93" i="83"/>
  <c r="E149" i="55"/>
  <c r="G208" i="55"/>
  <c r="G262" i="55"/>
  <c r="O52" i="22"/>
  <c r="P49" i="22"/>
  <c r="G42" i="53"/>
  <c r="G95" i="53"/>
  <c r="G111" i="83"/>
  <c r="E162" i="72"/>
  <c r="G117" i="83"/>
  <c r="G48" i="53"/>
  <c r="G101" i="53"/>
  <c r="G118" i="83"/>
  <c r="G49" i="53"/>
  <c r="G102" i="53"/>
  <c r="F88" i="83"/>
  <c r="E27" i="84"/>
  <c r="E58" i="84"/>
  <c r="G82" i="83"/>
  <c r="F21" i="84"/>
  <c r="F52" i="84"/>
  <c r="F83" i="83"/>
  <c r="E22" i="84"/>
  <c r="E53" i="84"/>
  <c r="G251" i="55"/>
  <c r="I24" i="68"/>
  <c r="I176" i="29"/>
  <c r="I146" i="29"/>
  <c r="I131" i="29"/>
  <c r="I161" i="29"/>
  <c r="F58" i="83"/>
  <c r="E47" i="55"/>
  <c r="E104" i="55"/>
  <c r="J240" i="55"/>
  <c r="H247" i="55"/>
  <c r="F57" i="83"/>
  <c r="E46" i="55"/>
  <c r="E103" i="55"/>
  <c r="F62" i="83"/>
  <c r="E51" i="55"/>
  <c r="E108" i="55"/>
  <c r="F245" i="53"/>
  <c r="C157" i="29"/>
  <c r="C142" i="29"/>
  <c r="C127" i="29"/>
  <c r="C37" i="29"/>
  <c r="C172" i="29"/>
  <c r="H123" i="83"/>
  <c r="I54" i="53"/>
  <c r="I107" i="53"/>
  <c r="H54" i="53"/>
  <c r="H107" i="53"/>
  <c r="E282" i="55"/>
  <c r="G243" i="55"/>
  <c r="F58" i="55"/>
  <c r="F115" i="55"/>
  <c r="G69" i="83"/>
  <c r="C11" i="21"/>
  <c r="F34" i="61"/>
  <c r="D157" i="55"/>
  <c r="F216" i="55"/>
  <c r="F270" i="55"/>
  <c r="G71" i="72"/>
  <c r="I158" i="72"/>
  <c r="H108" i="83"/>
  <c r="I39" i="53"/>
  <c r="I92" i="53"/>
  <c r="H39" i="53"/>
  <c r="H92" i="53"/>
  <c r="F55" i="72"/>
  <c r="F53" i="72"/>
  <c r="F154" i="84"/>
  <c r="F159" i="84"/>
  <c r="F168" i="84"/>
  <c r="F169" i="84"/>
  <c r="G263" i="55"/>
  <c r="E150" i="55"/>
  <c r="G209" i="55"/>
  <c r="E147" i="55"/>
  <c r="G206" i="55"/>
  <c r="G260" i="55"/>
  <c r="D61" i="55"/>
  <c r="H156" i="53"/>
  <c r="H223" i="53"/>
  <c r="G113" i="83"/>
  <c r="G44" i="53"/>
  <c r="G97" i="53"/>
  <c r="H226" i="53"/>
  <c r="H159" i="53"/>
  <c r="H244" i="55"/>
  <c r="H213" i="53"/>
  <c r="H250" i="55"/>
  <c r="D39" i="84"/>
  <c r="E145" i="55"/>
  <c r="G204" i="55"/>
  <c r="G258" i="55"/>
  <c r="F56" i="83"/>
  <c r="E45" i="55"/>
  <c r="E102" i="55"/>
  <c r="F250" i="53"/>
  <c r="G14" i="61"/>
  <c r="H110" i="83"/>
  <c r="I41" i="53"/>
  <c r="I94" i="53"/>
  <c r="H41" i="53"/>
  <c r="H94" i="53"/>
  <c r="G121" i="83"/>
  <c r="G52" i="53"/>
  <c r="G105" i="53"/>
  <c r="H173" i="53"/>
  <c r="G47" i="81"/>
  <c r="F16" i="55"/>
  <c r="G53" i="83"/>
  <c r="F42" i="55"/>
  <c r="F99" i="55"/>
  <c r="G275" i="55"/>
  <c r="E165" i="55"/>
  <c r="G224" i="55"/>
  <c r="F63" i="83"/>
  <c r="E52" i="55"/>
  <c r="E109" i="55"/>
  <c r="F55" i="83"/>
  <c r="E44" i="55"/>
  <c r="E101" i="55"/>
  <c r="D274" i="53"/>
  <c r="D276" i="53"/>
  <c r="E42" i="61"/>
  <c r="B20" i="21"/>
  <c r="F94" i="83"/>
  <c r="E33" i="84"/>
  <c r="H109" i="83"/>
  <c r="I40" i="53"/>
  <c r="I93" i="53"/>
  <c r="H40" i="53"/>
  <c r="H93" i="53"/>
  <c r="F271" i="55"/>
  <c r="D158" i="55"/>
  <c r="F217" i="55"/>
  <c r="E148" i="55"/>
  <c r="G207" i="55"/>
  <c r="G261" i="55"/>
  <c r="E285" i="55"/>
  <c r="E284" i="55"/>
  <c r="G254" i="53"/>
  <c r="G164" i="53"/>
  <c r="G231" i="53"/>
  <c r="F17" i="84"/>
  <c r="F48" i="84"/>
  <c r="G78" i="83"/>
  <c r="G253" i="55"/>
  <c r="G81" i="83"/>
  <c r="F20" i="84"/>
  <c r="F51" i="84"/>
  <c r="H208" i="53"/>
  <c r="G242" i="55"/>
  <c r="H239" i="53"/>
  <c r="H175" i="53"/>
  <c r="E24" i="84"/>
  <c r="E55" i="84"/>
  <c r="F85" i="83"/>
  <c r="E167" i="55"/>
  <c r="G226" i="55"/>
  <c r="G277" i="55"/>
  <c r="E48" i="55"/>
  <c r="E105" i="55"/>
  <c r="F59" i="83"/>
  <c r="J158" i="72"/>
  <c r="H71" i="72"/>
  <c r="G51" i="83"/>
  <c r="F40" i="55"/>
  <c r="F97" i="55"/>
  <c r="E126" i="84"/>
  <c r="E143" i="84"/>
  <c r="G156" i="84"/>
  <c r="G163" i="84"/>
  <c r="G167" i="84"/>
  <c r="E125" i="84"/>
  <c r="E142" i="84"/>
  <c r="G155" i="84"/>
  <c r="E124" i="84"/>
  <c r="E141" i="84"/>
  <c r="G164" i="84"/>
  <c r="H154" i="53"/>
  <c r="H221" i="53"/>
  <c r="F84" i="83"/>
  <c r="E23" i="84"/>
  <c r="E54" i="84"/>
  <c r="G52" i="83"/>
  <c r="F41" i="55"/>
  <c r="F98" i="55"/>
  <c r="G49" i="83"/>
  <c r="F38" i="55"/>
  <c r="F95" i="55"/>
  <c r="D144" i="55"/>
  <c r="F203" i="55"/>
  <c r="F257" i="55"/>
  <c r="E45" i="84"/>
  <c r="E39" i="84"/>
  <c r="F49" i="72"/>
  <c r="G47" i="83"/>
  <c r="F36" i="55"/>
  <c r="F93" i="55"/>
  <c r="E17" i="61"/>
  <c r="F8" i="61"/>
  <c r="G259" i="55"/>
  <c r="E146" i="55"/>
  <c r="G205" i="55"/>
  <c r="H216" i="53"/>
  <c r="H103" i="83"/>
  <c r="I34" i="53"/>
  <c r="I87" i="53"/>
  <c r="H34" i="53"/>
  <c r="H87" i="53"/>
  <c r="H125" i="83"/>
  <c r="I56" i="53"/>
  <c r="I109" i="53"/>
  <c r="H56" i="53"/>
  <c r="H109" i="53"/>
  <c r="D159" i="55"/>
  <c r="F218" i="55"/>
  <c r="F272" i="55"/>
  <c r="E259" i="53"/>
  <c r="E262" i="53"/>
  <c r="M64" i="22"/>
  <c r="N61" i="22"/>
  <c r="N62" i="22"/>
  <c r="N63" i="22"/>
  <c r="M58" i="22"/>
  <c r="N55" i="22"/>
  <c r="N56" i="22"/>
  <c r="N58" i="22"/>
  <c r="O55" i="22"/>
  <c r="L45" i="22"/>
  <c r="L66" i="22"/>
  <c r="C97" i="22"/>
  <c r="L46" i="22"/>
  <c r="E46" i="22"/>
  <c r="E65" i="22"/>
  <c r="D12" i="69"/>
  <c r="D14" i="69"/>
  <c r="P50" i="22"/>
  <c r="P51" i="22"/>
  <c r="M38" i="22"/>
  <c r="M40" i="22"/>
  <c r="H39" i="22"/>
  <c r="G67" i="22"/>
  <c r="F40" i="22"/>
  <c r="F16" i="61"/>
  <c r="E170" i="72"/>
  <c r="B21" i="21"/>
  <c r="H5" i="61"/>
  <c r="F260" i="53"/>
  <c r="G7" i="61"/>
  <c r="F169" i="72"/>
  <c r="J222" i="53"/>
  <c r="J155" i="53"/>
  <c r="H49" i="72"/>
  <c r="G49" i="72"/>
  <c r="E12" i="84"/>
  <c r="E42" i="84"/>
  <c r="H49" i="83"/>
  <c r="H38" i="55"/>
  <c r="H95" i="55"/>
  <c r="G38" i="55"/>
  <c r="G95" i="55"/>
  <c r="E157" i="55"/>
  <c r="G216" i="55"/>
  <c r="G270" i="55"/>
  <c r="G55" i="83"/>
  <c r="F44" i="55"/>
  <c r="F101" i="55"/>
  <c r="H121" i="83"/>
  <c r="I52" i="53"/>
  <c r="I105" i="53"/>
  <c r="J173" i="53"/>
  <c r="H52" i="53"/>
  <c r="H105" i="53"/>
  <c r="I173" i="53"/>
  <c r="E155" i="55"/>
  <c r="G214" i="55"/>
  <c r="G268" i="55"/>
  <c r="H82" i="83"/>
  <c r="H21" i="84"/>
  <c r="H52" i="84"/>
  <c r="G21" i="84"/>
  <c r="G52" i="84"/>
  <c r="H117" i="83"/>
  <c r="I48" i="53"/>
  <c r="I101" i="53"/>
  <c r="H48" i="53"/>
  <c r="H101" i="53"/>
  <c r="I212" i="53"/>
  <c r="H122" i="83"/>
  <c r="I53" i="53"/>
  <c r="I106" i="53"/>
  <c r="H53" i="53"/>
  <c r="H106" i="53"/>
  <c r="I174" i="53"/>
  <c r="H116" i="83"/>
  <c r="I47" i="53"/>
  <c r="I100" i="53"/>
  <c r="H47" i="53"/>
  <c r="H100" i="53"/>
  <c r="I202" i="53"/>
  <c r="D170" i="72"/>
  <c r="D172" i="72"/>
  <c r="F7" i="61"/>
  <c r="E169" i="72"/>
  <c r="J157" i="53"/>
  <c r="J224" i="53"/>
  <c r="F124" i="84"/>
  <c r="F141" i="84"/>
  <c r="F126" i="84"/>
  <c r="F143" i="84"/>
  <c r="H156" i="84"/>
  <c r="F125" i="84"/>
  <c r="F142" i="84"/>
  <c r="H155" i="84"/>
  <c r="H163" i="84"/>
  <c r="H167" i="84"/>
  <c r="H164" i="84"/>
  <c r="J208" i="53"/>
  <c r="I241" i="53"/>
  <c r="I177" i="53"/>
  <c r="F79" i="72"/>
  <c r="H157" i="72"/>
  <c r="J250" i="55"/>
  <c r="H263" i="55"/>
  <c r="F150" i="55"/>
  <c r="H209" i="55"/>
  <c r="G154" i="84"/>
  <c r="G159" i="84"/>
  <c r="G168" i="84"/>
  <c r="G169" i="84"/>
  <c r="G85" i="83"/>
  <c r="F24" i="84"/>
  <c r="F55" i="84"/>
  <c r="H81" i="83"/>
  <c r="H20" i="84"/>
  <c r="H51" i="84"/>
  <c r="G20" i="84"/>
  <c r="G51" i="84"/>
  <c r="F33" i="84"/>
  <c r="G94" i="83"/>
  <c r="G33" i="84"/>
  <c r="I215" i="53"/>
  <c r="E161" i="55"/>
  <c r="G220" i="55"/>
  <c r="G274" i="55"/>
  <c r="F151" i="55"/>
  <c r="H210" i="55"/>
  <c r="H264" i="55"/>
  <c r="H238" i="55"/>
  <c r="I211" i="53"/>
  <c r="I229" i="53"/>
  <c r="I162" i="53"/>
  <c r="I209" i="53"/>
  <c r="H232" i="53"/>
  <c r="H165" i="53"/>
  <c r="G34" i="61"/>
  <c r="D11" i="21"/>
  <c r="H55" i="72"/>
  <c r="G55" i="72"/>
  <c r="I175" i="53"/>
  <c r="I239" i="53"/>
  <c r="G57" i="83"/>
  <c r="F46" i="55"/>
  <c r="F103" i="55"/>
  <c r="G251" i="53"/>
  <c r="G245" i="53"/>
  <c r="G247" i="53"/>
  <c r="G250" i="53"/>
  <c r="H14" i="61"/>
  <c r="H170" i="53"/>
  <c r="H237" i="53"/>
  <c r="I252" i="55"/>
  <c r="G90" i="83"/>
  <c r="F29" i="84"/>
  <c r="F60" i="84"/>
  <c r="F25" i="84"/>
  <c r="F56" i="84"/>
  <c r="G86" i="83"/>
  <c r="H79" i="83"/>
  <c r="H18" i="84"/>
  <c r="H49" i="84"/>
  <c r="G18" i="84"/>
  <c r="G49" i="84"/>
  <c r="J212" i="53"/>
  <c r="F30" i="84"/>
  <c r="F61" i="84"/>
  <c r="G91" i="83"/>
  <c r="G87" i="83"/>
  <c r="F26" i="84"/>
  <c r="F57" i="84"/>
  <c r="H168" i="53"/>
  <c r="H235" i="53"/>
  <c r="E177" i="84"/>
  <c r="F17" i="61"/>
  <c r="G8" i="61"/>
  <c r="H43" i="81"/>
  <c r="H12" i="55"/>
  <c r="G12" i="55"/>
  <c r="H119" i="83"/>
  <c r="I50" i="53"/>
  <c r="I103" i="53"/>
  <c r="H50" i="53"/>
  <c r="H103" i="53"/>
  <c r="J210" i="53"/>
  <c r="J247" i="55"/>
  <c r="J202" i="53"/>
  <c r="G253" i="53"/>
  <c r="I206" i="53"/>
  <c r="E10" i="55"/>
  <c r="F92" i="55"/>
  <c r="G36" i="84"/>
  <c r="G64" i="84"/>
  <c r="H97" i="83"/>
  <c r="H36" i="84"/>
  <c r="H64" i="84"/>
  <c r="H48" i="83"/>
  <c r="H37" i="55"/>
  <c r="H94" i="55"/>
  <c r="G37" i="55"/>
  <c r="G94" i="55"/>
  <c r="H249" i="55"/>
  <c r="I221" i="53"/>
  <c r="I154" i="53"/>
  <c r="G159" i="72"/>
  <c r="E12" i="72"/>
  <c r="G271" i="55"/>
  <c r="E158" i="55"/>
  <c r="G217" i="55"/>
  <c r="D141" i="29"/>
  <c r="D36" i="29"/>
  <c r="D126" i="29"/>
  <c r="D156" i="29"/>
  <c r="D171" i="29"/>
  <c r="I250" i="55"/>
  <c r="G84" i="83"/>
  <c r="F23" i="84"/>
  <c r="F54" i="84"/>
  <c r="H243" i="55"/>
  <c r="J198" i="53"/>
  <c r="F167" i="55"/>
  <c r="H226" i="55"/>
  <c r="H277" i="55"/>
  <c r="H253" i="55"/>
  <c r="J207" i="53"/>
  <c r="H230" i="53"/>
  <c r="H163" i="53"/>
  <c r="G93" i="83"/>
  <c r="G32" i="84"/>
  <c r="F32" i="84"/>
  <c r="H275" i="55"/>
  <c r="F165" i="55"/>
  <c r="H224" i="55"/>
  <c r="J226" i="53"/>
  <c r="J159" i="53"/>
  <c r="I210" i="53"/>
  <c r="I247" i="55"/>
  <c r="H50" i="72"/>
  <c r="G50" i="72"/>
  <c r="F162" i="72"/>
  <c r="E274" i="53"/>
  <c r="E276" i="53"/>
  <c r="C20" i="21"/>
  <c r="F42" i="61"/>
  <c r="J177" i="53"/>
  <c r="J241" i="53"/>
  <c r="F145" i="55"/>
  <c r="H204" i="55"/>
  <c r="H258" i="55"/>
  <c r="I213" i="53"/>
  <c r="I244" i="55"/>
  <c r="G41" i="55"/>
  <c r="G98" i="55"/>
  <c r="H52" i="83"/>
  <c r="H41" i="55"/>
  <c r="H98" i="55"/>
  <c r="F149" i="55"/>
  <c r="H208" i="55"/>
  <c r="H262" i="55"/>
  <c r="H78" i="83"/>
  <c r="H17" i="84"/>
  <c r="H48" i="84"/>
  <c r="G17" i="84"/>
  <c r="G48" i="84"/>
  <c r="C6" i="21"/>
  <c r="I161" i="53"/>
  <c r="I228" i="53"/>
  <c r="J215" i="53"/>
  <c r="G63" i="83"/>
  <c r="F52" i="55"/>
  <c r="F109" i="55"/>
  <c r="H53" i="83"/>
  <c r="H42" i="55"/>
  <c r="H99" i="55"/>
  <c r="G42" i="55"/>
  <c r="G99" i="55"/>
  <c r="G16" i="55"/>
  <c r="H47" i="81"/>
  <c r="H16" i="55"/>
  <c r="J211" i="53"/>
  <c r="J162" i="53"/>
  <c r="J229" i="53"/>
  <c r="G267" i="55"/>
  <c r="E154" i="55"/>
  <c r="G213" i="55"/>
  <c r="D42" i="84"/>
  <c r="D12" i="84"/>
  <c r="J209" i="53"/>
  <c r="H113" i="83"/>
  <c r="I44" i="53"/>
  <c r="I97" i="53"/>
  <c r="H44" i="53"/>
  <c r="H97" i="53"/>
  <c r="B7" i="21"/>
  <c r="I227" i="53"/>
  <c r="I160" i="53"/>
  <c r="D37" i="29"/>
  <c r="D172" i="29"/>
  <c r="D142" i="29"/>
  <c r="D127" i="29"/>
  <c r="D157" i="29"/>
  <c r="J175" i="53"/>
  <c r="J239" i="53"/>
  <c r="E160" i="55"/>
  <c r="G219" i="55"/>
  <c r="G273" i="55"/>
  <c r="E156" i="55"/>
  <c r="G215" i="55"/>
  <c r="G269" i="55"/>
  <c r="G88" i="83"/>
  <c r="F27" i="84"/>
  <c r="F58" i="84"/>
  <c r="H118" i="83"/>
  <c r="I49" i="53"/>
  <c r="I102" i="53"/>
  <c r="H49" i="53"/>
  <c r="H102" i="53"/>
  <c r="J252" i="55"/>
  <c r="I240" i="53"/>
  <c r="I176" i="53"/>
  <c r="G89" i="83"/>
  <c r="F28" i="84"/>
  <c r="F59" i="84"/>
  <c r="I217" i="53"/>
  <c r="F152" i="55"/>
  <c r="H211" i="55"/>
  <c r="H265" i="55"/>
  <c r="F284" i="55"/>
  <c r="F285" i="55"/>
  <c r="I223" i="53"/>
  <c r="I156" i="53"/>
  <c r="H120" i="83"/>
  <c r="I51" i="53"/>
  <c r="I104" i="53"/>
  <c r="H51" i="53"/>
  <c r="H104" i="53"/>
  <c r="I172" i="53"/>
  <c r="I225" i="53"/>
  <c r="I158" i="53"/>
  <c r="H238" i="53"/>
  <c r="H171" i="53"/>
  <c r="H115" i="83"/>
  <c r="I46" i="53"/>
  <c r="I99" i="53"/>
  <c r="H46" i="53"/>
  <c r="H99" i="53"/>
  <c r="H166" i="53"/>
  <c r="H233" i="53"/>
  <c r="H54" i="72"/>
  <c r="G54" i="72"/>
  <c r="E61" i="55"/>
  <c r="H276" i="55"/>
  <c r="F166" i="55"/>
  <c r="H225" i="55"/>
  <c r="J206" i="53"/>
  <c r="G51" i="72"/>
  <c r="H51" i="72"/>
  <c r="G234" i="55"/>
  <c r="F160" i="72"/>
  <c r="F161" i="72"/>
  <c r="H46" i="83"/>
  <c r="H35" i="55"/>
  <c r="G35" i="55"/>
  <c r="H76" i="83"/>
  <c r="H15" i="84"/>
  <c r="H46" i="84"/>
  <c r="G15" i="84"/>
  <c r="G46" i="84"/>
  <c r="H77" i="83"/>
  <c r="H16" i="84"/>
  <c r="H47" i="84"/>
  <c r="G16" i="84"/>
  <c r="G47" i="84"/>
  <c r="I216" i="53"/>
  <c r="H96" i="83"/>
  <c r="H35" i="84"/>
  <c r="H63" i="84"/>
  <c r="G35" i="84"/>
  <c r="G63" i="84"/>
  <c r="J154" i="53"/>
  <c r="J221" i="53"/>
  <c r="G156" i="72"/>
  <c r="G164" i="72"/>
  <c r="E64" i="72"/>
  <c r="G60" i="83"/>
  <c r="F49" i="55"/>
  <c r="F106" i="55"/>
  <c r="H248" i="55"/>
  <c r="I222" i="53"/>
  <c r="I155" i="53"/>
  <c r="H47" i="83"/>
  <c r="H36" i="55"/>
  <c r="H93" i="55"/>
  <c r="G36" i="55"/>
  <c r="G93" i="55"/>
  <c r="J213" i="53"/>
  <c r="J244" i="55"/>
  <c r="F147" i="55"/>
  <c r="H206" i="55"/>
  <c r="H260" i="55"/>
  <c r="H51" i="83"/>
  <c r="H40" i="55"/>
  <c r="H97" i="55"/>
  <c r="G40" i="55"/>
  <c r="G97" i="55"/>
  <c r="G59" i="83"/>
  <c r="F48" i="55"/>
  <c r="F105" i="55"/>
  <c r="H251" i="55"/>
  <c r="J161" i="53"/>
  <c r="J228" i="53"/>
  <c r="E153" i="55"/>
  <c r="G212" i="55"/>
  <c r="G266" i="55"/>
  <c r="I198" i="53"/>
  <c r="H246" i="55"/>
  <c r="G56" i="83"/>
  <c r="F45" i="55"/>
  <c r="F102" i="55"/>
  <c r="G53" i="72"/>
  <c r="H53" i="72"/>
  <c r="J160" i="53"/>
  <c r="J227" i="53"/>
  <c r="H69" i="83"/>
  <c r="H58" i="55"/>
  <c r="H115" i="55"/>
  <c r="G58" i="55"/>
  <c r="G115" i="55"/>
  <c r="G62" i="83"/>
  <c r="F51" i="55"/>
  <c r="F108" i="55"/>
  <c r="G58" i="83"/>
  <c r="F47" i="55"/>
  <c r="F104" i="55"/>
  <c r="G83" i="83"/>
  <c r="F22" i="84"/>
  <c r="F53" i="84"/>
  <c r="I207" i="53"/>
  <c r="H236" i="53"/>
  <c r="H169" i="53"/>
  <c r="H245" i="55"/>
  <c r="H111" i="83"/>
  <c r="I42" i="53"/>
  <c r="I95" i="53"/>
  <c r="H42" i="53"/>
  <c r="H95" i="53"/>
  <c r="J176" i="53"/>
  <c r="J240" i="53"/>
  <c r="G92" i="83"/>
  <c r="G31" i="84"/>
  <c r="F31" i="84"/>
  <c r="H67" i="83"/>
  <c r="H56" i="55"/>
  <c r="H113" i="55"/>
  <c r="G56" i="55"/>
  <c r="G113" i="55"/>
  <c r="H253" i="53"/>
  <c r="H80" i="83"/>
  <c r="H19" i="84"/>
  <c r="H50" i="84"/>
  <c r="G19" i="84"/>
  <c r="G50" i="84"/>
  <c r="J217" i="53"/>
  <c r="H54" i="83"/>
  <c r="H43" i="55"/>
  <c r="H100" i="55"/>
  <c r="G43" i="55"/>
  <c r="G100" i="55"/>
  <c r="I226" i="53"/>
  <c r="I159" i="53"/>
  <c r="J156" i="53"/>
  <c r="J223" i="53"/>
  <c r="G48" i="72"/>
  <c r="H48" i="72"/>
  <c r="J158" i="53"/>
  <c r="J225" i="53"/>
  <c r="F96" i="72"/>
  <c r="H155" i="72"/>
  <c r="H234" i="53"/>
  <c r="H167" i="53"/>
  <c r="H114" i="83"/>
  <c r="I45" i="53"/>
  <c r="I98" i="53"/>
  <c r="H45" i="53"/>
  <c r="H98" i="53"/>
  <c r="E144" i="55"/>
  <c r="G203" i="55"/>
  <c r="G257" i="55"/>
  <c r="H68" i="83"/>
  <c r="H57" i="55"/>
  <c r="H114" i="55"/>
  <c r="G57" i="55"/>
  <c r="G114" i="55"/>
  <c r="C167" i="29"/>
  <c r="C137" i="29"/>
  <c r="C32" i="29"/>
  <c r="C122" i="29"/>
  <c r="C152" i="29"/>
  <c r="C6" i="68"/>
  <c r="I157" i="53"/>
  <c r="I224" i="53"/>
  <c r="H95" i="83"/>
  <c r="H34" i="84"/>
  <c r="H62" i="84"/>
  <c r="G34" i="84"/>
  <c r="G62" i="84"/>
  <c r="I208" i="53"/>
  <c r="H164" i="53"/>
  <c r="H231" i="53"/>
  <c r="E159" i="55"/>
  <c r="G218" i="55"/>
  <c r="G272" i="55"/>
  <c r="J216" i="53"/>
  <c r="F45" i="84"/>
  <c r="F39" i="84"/>
  <c r="H242" i="55"/>
  <c r="F148" i="55"/>
  <c r="H207" i="55"/>
  <c r="H261" i="55"/>
  <c r="F259" i="53"/>
  <c r="F262" i="53"/>
  <c r="H112" i="83"/>
  <c r="I43" i="53"/>
  <c r="I96" i="53"/>
  <c r="H43" i="53"/>
  <c r="H96" i="53"/>
  <c r="G61" i="83"/>
  <c r="F50" i="55"/>
  <c r="F107" i="55"/>
  <c r="H259" i="55"/>
  <c r="F146" i="55"/>
  <c r="H205" i="55"/>
  <c r="H52" i="72"/>
  <c r="G52" i="72"/>
  <c r="F282" i="55"/>
  <c r="H75" i="83"/>
  <c r="H14" i="84"/>
  <c r="G14" i="84"/>
  <c r="H50" i="83"/>
  <c r="H39" i="55"/>
  <c r="H96" i="55"/>
  <c r="G39" i="55"/>
  <c r="G96" i="55"/>
  <c r="O56" i="22"/>
  <c r="O58" i="22"/>
  <c r="P55" i="22"/>
  <c r="N57" i="22"/>
  <c r="N64" i="22"/>
  <c r="O61" i="22"/>
  <c r="O62" i="22"/>
  <c r="O63" i="22"/>
  <c r="P52" i="22"/>
  <c r="Q49" i="22"/>
  <c r="Q50" i="22"/>
  <c r="Q51" i="22"/>
  <c r="F43" i="22"/>
  <c r="E68" i="22"/>
  <c r="M43" i="22"/>
  <c r="L68" i="22"/>
  <c r="L67" i="22"/>
  <c r="N37" i="22"/>
  <c r="I39" i="22"/>
  <c r="I67" i="22"/>
  <c r="H67" i="22"/>
  <c r="G37" i="22"/>
  <c r="M39" i="22"/>
  <c r="O57" i="22"/>
  <c r="E172" i="72"/>
  <c r="C17" i="21"/>
  <c r="G16" i="61"/>
  <c r="F170" i="72"/>
  <c r="F172" i="72"/>
  <c r="I5" i="61"/>
  <c r="G260" i="53"/>
  <c r="J164" i="53"/>
  <c r="J231" i="53"/>
  <c r="G148" i="55"/>
  <c r="I207" i="55"/>
  <c r="I261" i="55"/>
  <c r="G45" i="84"/>
  <c r="F159" i="55"/>
  <c r="H218" i="55"/>
  <c r="H272" i="55"/>
  <c r="G124" i="84"/>
  <c r="G141" i="84"/>
  <c r="G126" i="84"/>
  <c r="G143" i="84"/>
  <c r="I156" i="84"/>
  <c r="G125" i="84"/>
  <c r="G142" i="84"/>
  <c r="I155" i="84"/>
  <c r="I163" i="84"/>
  <c r="I164" i="84"/>
  <c r="I167" i="84"/>
  <c r="H250" i="53"/>
  <c r="I230" i="53"/>
  <c r="I163" i="53"/>
  <c r="F160" i="55"/>
  <c r="H219" i="55"/>
  <c r="H273" i="55"/>
  <c r="J277" i="55"/>
  <c r="H167" i="55"/>
  <c r="H59" i="83"/>
  <c r="H48" i="55"/>
  <c r="H105" i="55"/>
  <c r="G48" i="55"/>
  <c r="G105" i="55"/>
  <c r="H271" i="55"/>
  <c r="F158" i="55"/>
  <c r="H217" i="55"/>
  <c r="J249" i="55"/>
  <c r="G92" i="55"/>
  <c r="G284" i="55"/>
  <c r="G285" i="55"/>
  <c r="J172" i="53"/>
  <c r="J165" i="53"/>
  <c r="J232" i="53"/>
  <c r="I238" i="55"/>
  <c r="H63" i="83"/>
  <c r="H52" i="55"/>
  <c r="H109" i="55"/>
  <c r="G52" i="55"/>
  <c r="G109" i="55"/>
  <c r="H84" i="83"/>
  <c r="H23" i="84"/>
  <c r="H54" i="84"/>
  <c r="G23" i="84"/>
  <c r="G54" i="84"/>
  <c r="I259" i="55"/>
  <c r="G146" i="55"/>
  <c r="I205" i="55"/>
  <c r="F61" i="55"/>
  <c r="I253" i="55"/>
  <c r="F274" i="53"/>
  <c r="F276" i="53"/>
  <c r="D10" i="21"/>
  <c r="H154" i="84"/>
  <c r="H159" i="84"/>
  <c r="H168" i="84"/>
  <c r="H169" i="84"/>
  <c r="E45" i="61"/>
  <c r="B17" i="21"/>
  <c r="D181" i="72"/>
  <c r="D183" i="72"/>
  <c r="H234" i="55"/>
  <c r="J174" i="53"/>
  <c r="I245" i="55"/>
  <c r="J246" i="55"/>
  <c r="H156" i="72"/>
  <c r="F64" i="72"/>
  <c r="H147" i="55"/>
  <c r="J260" i="55"/>
  <c r="G259" i="53"/>
  <c r="G262" i="53"/>
  <c r="J242" i="55"/>
  <c r="H148" i="55"/>
  <c r="J207" i="55"/>
  <c r="J261" i="55"/>
  <c r="H45" i="84"/>
  <c r="H61" i="83"/>
  <c r="H50" i="55"/>
  <c r="H107" i="55"/>
  <c r="G50" i="55"/>
  <c r="G107" i="55"/>
  <c r="D20" i="21"/>
  <c r="G42" i="61"/>
  <c r="H124" i="84"/>
  <c r="H141" i="84"/>
  <c r="J163" i="84"/>
  <c r="H125" i="84"/>
  <c r="H142" i="84"/>
  <c r="J155" i="84"/>
  <c r="H126" i="84"/>
  <c r="H143" i="84"/>
  <c r="J156" i="84"/>
  <c r="J164" i="84"/>
  <c r="J167" i="84"/>
  <c r="G152" i="55"/>
  <c r="I211" i="55"/>
  <c r="I265" i="55"/>
  <c r="H251" i="53"/>
  <c r="H245" i="53"/>
  <c r="H246" i="53"/>
  <c r="H247" i="53"/>
  <c r="I14" i="61"/>
  <c r="J230" i="53"/>
  <c r="J163" i="53"/>
  <c r="H83" i="83"/>
  <c r="H22" i="84"/>
  <c r="H53" i="84"/>
  <c r="G22" i="84"/>
  <c r="G53" i="84"/>
  <c r="H62" i="83"/>
  <c r="H51" i="55"/>
  <c r="H108" i="55"/>
  <c r="G51" i="55"/>
  <c r="G108" i="55"/>
  <c r="H267" i="55"/>
  <c r="F154" i="55"/>
  <c r="H213" i="55"/>
  <c r="J243" i="55"/>
  <c r="G149" i="55"/>
  <c r="I208" i="55"/>
  <c r="I262" i="55"/>
  <c r="I258" i="55"/>
  <c r="G145" i="55"/>
  <c r="I204" i="55"/>
  <c r="G49" i="55"/>
  <c r="G106" i="55"/>
  <c r="H60" i="83"/>
  <c r="H49" i="55"/>
  <c r="H106" i="55"/>
  <c r="G163" i="72"/>
  <c r="H92" i="55"/>
  <c r="I234" i="53"/>
  <c r="I167" i="53"/>
  <c r="D6" i="21"/>
  <c r="H89" i="83"/>
  <c r="H28" i="84"/>
  <c r="H59" i="84"/>
  <c r="G28" i="84"/>
  <c r="G59" i="84"/>
  <c r="H88" i="83"/>
  <c r="H27" i="84"/>
  <c r="H58" i="84"/>
  <c r="G27" i="84"/>
  <c r="G58" i="84"/>
  <c r="I264" i="55"/>
  <c r="G151" i="55"/>
  <c r="I210" i="55"/>
  <c r="I251" i="55"/>
  <c r="J263" i="55"/>
  <c r="H150" i="55"/>
  <c r="I157" i="72"/>
  <c r="G79" i="72"/>
  <c r="H96" i="72"/>
  <c r="J155" i="72"/>
  <c r="I248" i="55"/>
  <c r="G162" i="72"/>
  <c r="H146" i="55"/>
  <c r="J259" i="55"/>
  <c r="F144" i="55"/>
  <c r="H203" i="55"/>
  <c r="H257" i="55"/>
  <c r="I238" i="53"/>
  <c r="I171" i="53"/>
  <c r="H86" i="83"/>
  <c r="H25" i="84"/>
  <c r="H56" i="84"/>
  <c r="G25" i="84"/>
  <c r="G56" i="84"/>
  <c r="H90" i="83"/>
  <c r="H29" i="84"/>
  <c r="H60" i="84"/>
  <c r="G29" i="84"/>
  <c r="G60" i="84"/>
  <c r="J253" i="55"/>
  <c r="E172" i="29"/>
  <c r="E142" i="29"/>
  <c r="E127" i="29"/>
  <c r="E157" i="29"/>
  <c r="E37" i="29"/>
  <c r="H163" i="72"/>
  <c r="I235" i="53"/>
  <c r="I168" i="53"/>
  <c r="J245" i="55"/>
  <c r="F153" i="55"/>
  <c r="H212" i="55"/>
  <c r="H266" i="55"/>
  <c r="I164" i="53"/>
  <c r="I231" i="53"/>
  <c r="F12" i="84"/>
  <c r="F42" i="84"/>
  <c r="G166" i="55"/>
  <c r="I225" i="55"/>
  <c r="I276" i="55"/>
  <c r="I233" i="53"/>
  <c r="I166" i="53"/>
  <c r="H152" i="55"/>
  <c r="J211" i="55"/>
  <c r="J265" i="55"/>
  <c r="I275" i="55"/>
  <c r="G165" i="55"/>
  <c r="I224" i="55"/>
  <c r="F156" i="55"/>
  <c r="H215" i="55"/>
  <c r="H269" i="55"/>
  <c r="H56" i="83"/>
  <c r="H45" i="55"/>
  <c r="H102" i="55"/>
  <c r="G45" i="55"/>
  <c r="G102" i="55"/>
  <c r="I243" i="55"/>
  <c r="H149" i="55"/>
  <c r="J208" i="55"/>
  <c r="J262" i="55"/>
  <c r="H145" i="55"/>
  <c r="J204" i="55"/>
  <c r="J258" i="55"/>
  <c r="J234" i="53"/>
  <c r="J167" i="53"/>
  <c r="I237" i="53"/>
  <c r="I170" i="53"/>
  <c r="C168" i="29"/>
  <c r="C174" i="29"/>
  <c r="C153" i="29"/>
  <c r="C159" i="29"/>
  <c r="C138" i="29"/>
  <c r="C144" i="29"/>
  <c r="C123" i="29"/>
  <c r="C129" i="29"/>
  <c r="C33" i="29"/>
  <c r="H151" i="55"/>
  <c r="J264" i="55"/>
  <c r="D167" i="29"/>
  <c r="D32" i="29"/>
  <c r="D152" i="29"/>
  <c r="D122" i="29"/>
  <c r="D137" i="29"/>
  <c r="J251" i="55"/>
  <c r="I263" i="55"/>
  <c r="G150" i="55"/>
  <c r="I209" i="55"/>
  <c r="J157" i="72"/>
  <c r="H79" i="72"/>
  <c r="I155" i="72"/>
  <c r="G96" i="72"/>
  <c r="J248" i="55"/>
  <c r="G160" i="72"/>
  <c r="G161" i="72"/>
  <c r="G282" i="55"/>
  <c r="J238" i="53"/>
  <c r="J171" i="53"/>
  <c r="E186" i="84"/>
  <c r="E188" i="84"/>
  <c r="F47" i="61"/>
  <c r="C21" i="21"/>
  <c r="H87" i="83"/>
  <c r="H26" i="84"/>
  <c r="H57" i="84"/>
  <c r="G26" i="84"/>
  <c r="G57" i="84"/>
  <c r="F155" i="55"/>
  <c r="H214" i="55"/>
  <c r="H268" i="55"/>
  <c r="F11" i="61"/>
  <c r="E11" i="21"/>
  <c r="H34" i="61"/>
  <c r="J168" i="53"/>
  <c r="J235" i="53"/>
  <c r="I169" i="53"/>
  <c r="I236" i="53"/>
  <c r="H55" i="83"/>
  <c r="H44" i="55"/>
  <c r="H101" i="55"/>
  <c r="G44" i="55"/>
  <c r="G101" i="55"/>
  <c r="G166" i="84"/>
  <c r="G165" i="84"/>
  <c r="I242" i="55"/>
  <c r="C39" i="29"/>
  <c r="H166" i="55"/>
  <c r="J225" i="55"/>
  <c r="J276" i="55"/>
  <c r="J166" i="53"/>
  <c r="J233" i="53"/>
  <c r="J275" i="55"/>
  <c r="H165" i="55"/>
  <c r="J224" i="55"/>
  <c r="H58" i="83"/>
  <c r="H47" i="55"/>
  <c r="H104" i="55"/>
  <c r="G47" i="55"/>
  <c r="G104" i="55"/>
  <c r="G167" i="55"/>
  <c r="I226" i="55"/>
  <c r="I277" i="55"/>
  <c r="I253" i="53"/>
  <c r="F157" i="55"/>
  <c r="H216" i="55"/>
  <c r="H270" i="55"/>
  <c r="I249" i="55"/>
  <c r="J170" i="53"/>
  <c r="J237" i="53"/>
  <c r="I165" i="53"/>
  <c r="I232" i="53"/>
  <c r="F166" i="84"/>
  <c r="F165" i="84"/>
  <c r="J238" i="55"/>
  <c r="F161" i="55"/>
  <c r="H220" i="55"/>
  <c r="H274" i="55"/>
  <c r="H91" i="83"/>
  <c r="H30" i="84"/>
  <c r="H61" i="84"/>
  <c r="G30" i="84"/>
  <c r="G61" i="84"/>
  <c r="H57" i="83"/>
  <c r="H46" i="55"/>
  <c r="H103" i="55"/>
  <c r="G46" i="55"/>
  <c r="G103" i="55"/>
  <c r="D302" i="55"/>
  <c r="D305" i="55"/>
  <c r="H85" i="83"/>
  <c r="H24" i="84"/>
  <c r="H55" i="84"/>
  <c r="G24" i="84"/>
  <c r="G55" i="84"/>
  <c r="C7" i="21"/>
  <c r="D6" i="68"/>
  <c r="F45" i="61"/>
  <c r="F10" i="55"/>
  <c r="J169" i="53"/>
  <c r="J236" i="53"/>
  <c r="I246" i="55"/>
  <c r="F12" i="72"/>
  <c r="H159" i="72"/>
  <c r="I260" i="55"/>
  <c r="G147" i="55"/>
  <c r="I206" i="55"/>
  <c r="H254" i="53"/>
  <c r="P56" i="22"/>
  <c r="M44" i="22"/>
  <c r="M65" i="22"/>
  <c r="O64" i="22"/>
  <c r="P61" i="22"/>
  <c r="F46" i="22"/>
  <c r="F65" i="22"/>
  <c r="E12" i="69"/>
  <c r="E14" i="69"/>
  <c r="Q52" i="22"/>
  <c r="G40" i="22"/>
  <c r="N38" i="22"/>
  <c r="N40" i="22"/>
  <c r="E181" i="72"/>
  <c r="E183" i="72"/>
  <c r="P57" i="22"/>
  <c r="H7" i="61"/>
  <c r="G169" i="72"/>
  <c r="C147" i="29"/>
  <c r="C148" i="29"/>
  <c r="C149" i="29"/>
  <c r="P58" i="22"/>
  <c r="Q55" i="22"/>
  <c r="Q56" i="22"/>
  <c r="Q57" i="22"/>
  <c r="E302" i="55"/>
  <c r="E305" i="55"/>
  <c r="J5" i="61"/>
  <c r="H260" i="53"/>
  <c r="F10" i="21"/>
  <c r="I163" i="72"/>
  <c r="I156" i="72"/>
  <c r="G64" i="72"/>
  <c r="J209" i="55"/>
  <c r="H159" i="55"/>
  <c r="J272" i="55"/>
  <c r="G274" i="53"/>
  <c r="G276" i="53"/>
  <c r="H42" i="61"/>
  <c r="E20" i="21"/>
  <c r="E156" i="29"/>
  <c r="E171" i="29"/>
  <c r="E36" i="29"/>
  <c r="E141" i="29"/>
  <c r="E126" i="29"/>
  <c r="H10" i="55"/>
  <c r="J245" i="53"/>
  <c r="G144" i="55"/>
  <c r="I203" i="55"/>
  <c r="I257" i="55"/>
  <c r="I250" i="53"/>
  <c r="H282" i="55"/>
  <c r="G177" i="84"/>
  <c r="H17" i="61"/>
  <c r="I8" i="61"/>
  <c r="H155" i="55"/>
  <c r="J214" i="55"/>
  <c r="J268" i="55"/>
  <c r="E10" i="21"/>
  <c r="I251" i="53"/>
  <c r="I245" i="53"/>
  <c r="I246" i="53"/>
  <c r="I247" i="53"/>
  <c r="J14" i="61"/>
  <c r="F37" i="29"/>
  <c r="F142" i="29"/>
  <c r="F127" i="29"/>
  <c r="F172" i="29"/>
  <c r="F157" i="29"/>
  <c r="J250" i="53"/>
  <c r="J251" i="53"/>
  <c r="J246" i="53"/>
  <c r="J247" i="53"/>
  <c r="K14" i="61"/>
  <c r="J271" i="55"/>
  <c r="H158" i="55"/>
  <c r="H39" i="84"/>
  <c r="J234" i="55"/>
  <c r="I274" i="55"/>
  <c r="G161" i="55"/>
  <c r="I220" i="55"/>
  <c r="G157" i="55"/>
  <c r="I216" i="55"/>
  <c r="I270" i="55"/>
  <c r="J226" i="55"/>
  <c r="I268" i="55"/>
  <c r="G155" i="55"/>
  <c r="I214" i="55"/>
  <c r="G17" i="61"/>
  <c r="F177" i="84"/>
  <c r="J267" i="55"/>
  <c r="H154" i="55"/>
  <c r="H160" i="72"/>
  <c r="H161" i="72"/>
  <c r="H156" i="55"/>
  <c r="J215" i="55"/>
  <c r="J269" i="55"/>
  <c r="I254" i="53"/>
  <c r="H166" i="84"/>
  <c r="H165" i="84"/>
  <c r="D153" i="29"/>
  <c r="D159" i="29"/>
  <c r="D123" i="29"/>
  <c r="D129" i="29"/>
  <c r="D138" i="29"/>
  <c r="D144" i="29"/>
  <c r="D168" i="29"/>
  <c r="D33" i="29"/>
  <c r="D39" i="29"/>
  <c r="G10" i="55"/>
  <c r="J253" i="53"/>
  <c r="J159" i="72"/>
  <c r="H12" i="72"/>
  <c r="I266" i="55"/>
  <c r="G153" i="55"/>
  <c r="I212" i="55"/>
  <c r="G11" i="61"/>
  <c r="I164" i="72"/>
  <c r="H144" i="55"/>
  <c r="J203" i="55"/>
  <c r="J257" i="55"/>
  <c r="I271" i="55"/>
  <c r="G158" i="55"/>
  <c r="I217" i="55"/>
  <c r="G160" i="55"/>
  <c r="I219" i="55"/>
  <c r="I273" i="55"/>
  <c r="J206" i="55"/>
  <c r="F11" i="21"/>
  <c r="I34" i="61"/>
  <c r="D7" i="21"/>
  <c r="E6" i="68"/>
  <c r="H161" i="55"/>
  <c r="J274" i="55"/>
  <c r="E6" i="21"/>
  <c r="H157" i="55"/>
  <c r="J216" i="55"/>
  <c r="J270" i="55"/>
  <c r="G39" i="84"/>
  <c r="D17" i="21"/>
  <c r="G45" i="61"/>
  <c r="F181" i="72"/>
  <c r="F183" i="72"/>
  <c r="H259" i="53"/>
  <c r="H262" i="53"/>
  <c r="G156" i="55"/>
  <c r="I215" i="55"/>
  <c r="I269" i="55"/>
  <c r="C23" i="68"/>
  <c r="C132" i="29"/>
  <c r="C133" i="29"/>
  <c r="C134" i="29"/>
  <c r="C177" i="29"/>
  <c r="C178" i="29"/>
  <c r="C179" i="29"/>
  <c r="D174" i="29"/>
  <c r="H162" i="72"/>
  <c r="I234" i="55"/>
  <c r="J156" i="72"/>
  <c r="H64" i="72"/>
  <c r="J164" i="72"/>
  <c r="H153" i="55"/>
  <c r="J212" i="55"/>
  <c r="J266" i="55"/>
  <c r="H16" i="61"/>
  <c r="J163" i="72"/>
  <c r="J210" i="55"/>
  <c r="G12" i="72"/>
  <c r="I159" i="72"/>
  <c r="I267" i="55"/>
  <c r="G154" i="55"/>
  <c r="I213" i="55"/>
  <c r="H164" i="72"/>
  <c r="J205" i="55"/>
  <c r="E167" i="29"/>
  <c r="E137" i="29"/>
  <c r="E122" i="29"/>
  <c r="E152" i="29"/>
  <c r="E32" i="29"/>
  <c r="H61" i="55"/>
  <c r="H160" i="55"/>
  <c r="J273" i="55"/>
  <c r="J154" i="84"/>
  <c r="J159" i="84"/>
  <c r="J168" i="84"/>
  <c r="J169" i="84"/>
  <c r="I272" i="55"/>
  <c r="G159" i="55"/>
  <c r="I218" i="55"/>
  <c r="H284" i="55"/>
  <c r="H285" i="55"/>
  <c r="G61" i="55"/>
  <c r="I154" i="84"/>
  <c r="I159" i="84"/>
  <c r="I168" i="84"/>
  <c r="I169" i="84"/>
  <c r="J254" i="53"/>
  <c r="P62" i="22"/>
  <c r="P63" i="22"/>
  <c r="G43" i="22"/>
  <c r="F68" i="22"/>
  <c r="M45" i="22"/>
  <c r="M66" i="22"/>
  <c r="D97" i="22"/>
  <c r="M46" i="22"/>
  <c r="N39" i="22"/>
  <c r="O37" i="22"/>
  <c r="H37" i="22"/>
  <c r="B24" i="69"/>
  <c r="C12" i="68"/>
  <c r="Q58" i="22"/>
  <c r="C162" i="29"/>
  <c r="C163" i="29"/>
  <c r="C164" i="29"/>
  <c r="C41" i="29"/>
  <c r="C43" i="29"/>
  <c r="C47" i="29"/>
  <c r="J260" i="53"/>
  <c r="K5" i="61"/>
  <c r="I260" i="53"/>
  <c r="G10" i="21"/>
  <c r="G302" i="55"/>
  <c r="G305" i="55"/>
  <c r="H10" i="21"/>
  <c r="E168" i="29"/>
  <c r="E174" i="29"/>
  <c r="C109" i="29"/>
  <c r="G12" i="84"/>
  <c r="G42" i="84"/>
  <c r="H11" i="21"/>
  <c r="K34" i="61"/>
  <c r="F167" i="29"/>
  <c r="F32" i="29"/>
  <c r="F122" i="29"/>
  <c r="F137" i="29"/>
  <c r="F152" i="29"/>
  <c r="E7" i="21"/>
  <c r="F6" i="68"/>
  <c r="I282" i="55"/>
  <c r="I284" i="55"/>
  <c r="H8" i="61"/>
  <c r="H11" i="61"/>
  <c r="J34" i="61"/>
  <c r="G11" i="21"/>
  <c r="I162" i="72"/>
  <c r="I285" i="55"/>
  <c r="H177" i="84"/>
  <c r="I17" i="61"/>
  <c r="J8" i="61"/>
  <c r="J284" i="55"/>
  <c r="J285" i="55"/>
  <c r="J217" i="55"/>
  <c r="J218" i="55"/>
  <c r="H274" i="53"/>
  <c r="H276" i="53"/>
  <c r="F20" i="21"/>
  <c r="I42" i="61"/>
  <c r="G170" i="72"/>
  <c r="G172" i="72"/>
  <c r="I7" i="61"/>
  <c r="H169" i="72"/>
  <c r="F6" i="21"/>
  <c r="J219" i="55"/>
  <c r="I160" i="72"/>
  <c r="I161" i="72"/>
  <c r="J16" i="61"/>
  <c r="D147" i="29"/>
  <c r="D148" i="29"/>
  <c r="D149" i="29"/>
  <c r="D23" i="68"/>
  <c r="D162" i="29"/>
  <c r="D163" i="29"/>
  <c r="D164" i="29"/>
  <c r="D132" i="29"/>
  <c r="D133" i="29"/>
  <c r="D134" i="29"/>
  <c r="D177" i="29"/>
  <c r="D178" i="29"/>
  <c r="D179" i="29"/>
  <c r="D41" i="29"/>
  <c r="D43" i="29"/>
  <c r="D47" i="29"/>
  <c r="J220" i="55"/>
  <c r="G37" i="29"/>
  <c r="G172" i="29"/>
  <c r="G142" i="29"/>
  <c r="G127" i="29"/>
  <c r="G157" i="29"/>
  <c r="F302" i="55"/>
  <c r="F305" i="55"/>
  <c r="J162" i="72"/>
  <c r="J213" i="55"/>
  <c r="G186" i="84"/>
  <c r="G188" i="84"/>
  <c r="H47" i="61"/>
  <c r="E21" i="21"/>
  <c r="G36" i="29"/>
  <c r="G141" i="29"/>
  <c r="G126" i="29"/>
  <c r="G156" i="29"/>
  <c r="G171" i="29"/>
  <c r="F186" i="84"/>
  <c r="F188" i="84"/>
  <c r="D21" i="21"/>
  <c r="G47" i="61"/>
  <c r="F171" i="29"/>
  <c r="F141" i="29"/>
  <c r="F126" i="29"/>
  <c r="F156" i="29"/>
  <c r="F36" i="29"/>
  <c r="I259" i="53"/>
  <c r="I262" i="53"/>
  <c r="E33" i="29"/>
  <c r="E39" i="29"/>
  <c r="E138" i="29"/>
  <c r="E144" i="29"/>
  <c r="E123" i="29"/>
  <c r="E129" i="29"/>
  <c r="E153" i="29"/>
  <c r="E159" i="29"/>
  <c r="J160" i="72"/>
  <c r="J161" i="72"/>
  <c r="I16" i="61"/>
  <c r="H12" i="84"/>
  <c r="H42" i="84"/>
  <c r="J282" i="55"/>
  <c r="M67" i="22"/>
  <c r="N43" i="22"/>
  <c r="M68" i="22"/>
  <c r="G46" i="22"/>
  <c r="G65" i="22"/>
  <c r="F12" i="69"/>
  <c r="F14" i="69"/>
  <c r="P64" i="22"/>
  <c r="Q61" i="22"/>
  <c r="H40" i="22"/>
  <c r="O38" i="22"/>
  <c r="C24" i="69"/>
  <c r="D12" i="68"/>
  <c r="E23" i="68"/>
  <c r="J39" i="21"/>
  <c r="K7" i="61"/>
  <c r="J169" i="72"/>
  <c r="I170" i="72"/>
  <c r="J165" i="84"/>
  <c r="J166" i="84"/>
  <c r="K17" i="61"/>
  <c r="H186" i="84"/>
  <c r="H188" i="84"/>
  <c r="I47" i="61"/>
  <c r="F21" i="21"/>
  <c r="F33" i="29"/>
  <c r="F39" i="29"/>
  <c r="J259" i="53"/>
  <c r="J262" i="53"/>
  <c r="H170" i="72"/>
  <c r="H172" i="72"/>
  <c r="J7" i="61"/>
  <c r="I169" i="72"/>
  <c r="F7" i="21"/>
  <c r="I11" i="61"/>
  <c r="G167" i="29"/>
  <c r="G32" i="29"/>
  <c r="G137" i="29"/>
  <c r="G122" i="29"/>
  <c r="G152" i="29"/>
  <c r="G6" i="68"/>
  <c r="F168" i="29"/>
  <c r="F174" i="29"/>
  <c r="F138" i="29"/>
  <c r="F144" i="29"/>
  <c r="F123" i="29"/>
  <c r="F129" i="29"/>
  <c r="F153" i="29"/>
  <c r="H172" i="29"/>
  <c r="H157" i="29"/>
  <c r="H127" i="29"/>
  <c r="H142" i="29"/>
  <c r="H37" i="29"/>
  <c r="F159" i="29"/>
  <c r="I165" i="84"/>
  <c r="I166" i="84"/>
  <c r="J17" i="61"/>
  <c r="K8" i="61"/>
  <c r="I156" i="29"/>
  <c r="I126" i="29"/>
  <c r="I36" i="29"/>
  <c r="I171" i="29"/>
  <c r="I141" i="29"/>
  <c r="H7" i="21"/>
  <c r="K16" i="61"/>
  <c r="J170" i="72"/>
  <c r="I274" i="53"/>
  <c r="I276" i="53"/>
  <c r="G20" i="21"/>
  <c r="J42" i="61"/>
  <c r="C71" i="29"/>
  <c r="D22" i="29"/>
  <c r="C83" i="29"/>
  <c r="C15" i="29"/>
  <c r="D109" i="29"/>
  <c r="E17" i="21"/>
  <c r="G181" i="72"/>
  <c r="G183" i="72"/>
  <c r="H45" i="61"/>
  <c r="E24" i="69"/>
  <c r="G6" i="21"/>
  <c r="I142" i="29"/>
  <c r="I127" i="29"/>
  <c r="I172" i="29"/>
  <c r="I157" i="29"/>
  <c r="I37" i="29"/>
  <c r="H36" i="29"/>
  <c r="H171" i="29"/>
  <c r="H141" i="29"/>
  <c r="H126" i="29"/>
  <c r="H156" i="29"/>
  <c r="N44" i="22"/>
  <c r="N46" i="22"/>
  <c r="N65" i="22"/>
  <c r="Q62" i="22"/>
  <c r="Q63" i="22"/>
  <c r="H43" i="22"/>
  <c r="G68" i="22"/>
  <c r="O39" i="22"/>
  <c r="O40" i="22"/>
  <c r="I37" i="22"/>
  <c r="E132" i="29"/>
  <c r="E133" i="29"/>
  <c r="E134" i="29"/>
  <c r="E41" i="29"/>
  <c r="E43" i="29"/>
  <c r="E47" i="29"/>
  <c r="E147" i="29"/>
  <c r="E148" i="29"/>
  <c r="E149" i="29"/>
  <c r="E177" i="29"/>
  <c r="E178" i="29"/>
  <c r="E179" i="29"/>
  <c r="D11" i="68"/>
  <c r="D13" i="68"/>
  <c r="C26" i="69"/>
  <c r="D24" i="69"/>
  <c r="E12" i="68"/>
  <c r="E162" i="29"/>
  <c r="E163" i="29"/>
  <c r="E164" i="29"/>
  <c r="C11" i="68"/>
  <c r="B26" i="69"/>
  <c r="I177" i="84"/>
  <c r="J47" i="61"/>
  <c r="J172" i="72"/>
  <c r="H17" i="21"/>
  <c r="F41" i="29"/>
  <c r="F43" i="29"/>
  <c r="F47" i="29"/>
  <c r="F147" i="29"/>
  <c r="F148" i="29"/>
  <c r="F149" i="29"/>
  <c r="F162" i="29"/>
  <c r="F163" i="29"/>
  <c r="F164" i="29"/>
  <c r="F23" i="68"/>
  <c r="F177" i="29"/>
  <c r="F178" i="29"/>
  <c r="F179" i="29"/>
  <c r="F132" i="29"/>
  <c r="F133" i="29"/>
  <c r="F134" i="29"/>
  <c r="G153" i="29"/>
  <c r="G159" i="29"/>
  <c r="G168" i="29"/>
  <c r="G138" i="29"/>
  <c r="G123" i="29"/>
  <c r="G33" i="29"/>
  <c r="G39" i="29"/>
  <c r="K11" i="61"/>
  <c r="H6" i="21"/>
  <c r="I33" i="29"/>
  <c r="I138" i="29"/>
  <c r="I123" i="29"/>
  <c r="I153" i="29"/>
  <c r="I168" i="29"/>
  <c r="G174" i="29"/>
  <c r="G129" i="29"/>
  <c r="H181" i="72"/>
  <c r="H183" i="72"/>
  <c r="F17" i="21"/>
  <c r="I45" i="61"/>
  <c r="J177" i="84"/>
  <c r="C7" i="68"/>
  <c r="C13" i="68"/>
  <c r="B32" i="69"/>
  <c r="C32" i="69"/>
  <c r="D32" i="69"/>
  <c r="E32" i="69"/>
  <c r="F32" i="69"/>
  <c r="G32" i="69"/>
  <c r="H32" i="69"/>
  <c r="E23" i="62"/>
  <c r="H302" i="55"/>
  <c r="H305" i="55"/>
  <c r="J11" i="61"/>
  <c r="J274" i="53"/>
  <c r="J276" i="53"/>
  <c r="K42" i="61"/>
  <c r="H20" i="21"/>
  <c r="E109" i="29"/>
  <c r="G144" i="29"/>
  <c r="G7" i="21"/>
  <c r="H6" i="68"/>
  <c r="I172" i="72"/>
  <c r="H167" i="29"/>
  <c r="H152" i="29"/>
  <c r="H32" i="29"/>
  <c r="H137" i="29"/>
  <c r="H122" i="29"/>
  <c r="Q64" i="22"/>
  <c r="H46" i="22"/>
  <c r="H65" i="22"/>
  <c r="G12" i="69"/>
  <c r="G14" i="69"/>
  <c r="O43" i="22"/>
  <c r="N68" i="22"/>
  <c r="N66" i="22"/>
  <c r="E97" i="22"/>
  <c r="N45" i="22"/>
  <c r="I40" i="22"/>
  <c r="P37" i="22"/>
  <c r="K45" i="61"/>
  <c r="J302" i="55"/>
  <c r="J305" i="55"/>
  <c r="J181" i="72"/>
  <c r="J183" i="72"/>
  <c r="F11" i="68"/>
  <c r="E26" i="69"/>
  <c r="E11" i="68"/>
  <c r="E13" i="68"/>
  <c r="D26" i="69"/>
  <c r="F12" i="68"/>
  <c r="I186" i="84"/>
  <c r="I188" i="84"/>
  <c r="G21" i="21"/>
  <c r="H21" i="21"/>
  <c r="K47" i="61"/>
  <c r="J186" i="84"/>
  <c r="J188" i="84"/>
  <c r="F109" i="29"/>
  <c r="H24" i="69"/>
  <c r="J45" i="61"/>
  <c r="G17" i="21"/>
  <c r="I181" i="72"/>
  <c r="I183" i="72"/>
  <c r="I302" i="55"/>
  <c r="I305" i="55"/>
  <c r="I167" i="29"/>
  <c r="I174" i="29"/>
  <c r="I137" i="29"/>
  <c r="I144" i="29"/>
  <c r="I122" i="29"/>
  <c r="I129" i="29"/>
  <c r="I152" i="29"/>
  <c r="I159" i="29"/>
  <c r="I32" i="29"/>
  <c r="I39" i="29"/>
  <c r="I6" i="68"/>
  <c r="H138" i="29"/>
  <c r="H144" i="29"/>
  <c r="H123" i="29"/>
  <c r="H129" i="29"/>
  <c r="H153" i="29"/>
  <c r="H159" i="29"/>
  <c r="H168" i="29"/>
  <c r="H174" i="29"/>
  <c r="H33" i="29"/>
  <c r="H39" i="29"/>
  <c r="N67" i="22"/>
  <c r="O44" i="22"/>
  <c r="O66" i="22"/>
  <c r="F97" i="22"/>
  <c r="O65" i="22"/>
  <c r="I43" i="22"/>
  <c r="H68" i="22"/>
  <c r="P38" i="22"/>
  <c r="F13" i="68"/>
  <c r="F24" i="69"/>
  <c r="G12" i="68"/>
  <c r="I177" i="29"/>
  <c r="I178" i="29"/>
  <c r="I179" i="29"/>
  <c r="I147" i="29"/>
  <c r="I148" i="29"/>
  <c r="I149" i="29"/>
  <c r="I23" i="68"/>
  <c r="I162" i="29"/>
  <c r="I163" i="29"/>
  <c r="I164" i="29"/>
  <c r="I41" i="29"/>
  <c r="I43" i="29"/>
  <c r="I47" i="29"/>
  <c r="I132" i="29"/>
  <c r="I133" i="29"/>
  <c r="I134" i="29"/>
  <c r="G147" i="29"/>
  <c r="G148" i="29"/>
  <c r="G149" i="29"/>
  <c r="G23" i="68"/>
  <c r="G162" i="29"/>
  <c r="G163" i="29"/>
  <c r="G164" i="29"/>
  <c r="G41" i="29"/>
  <c r="G43" i="29"/>
  <c r="G47" i="29"/>
  <c r="G132" i="29"/>
  <c r="G133" i="29"/>
  <c r="G134" i="29"/>
  <c r="G177" i="29"/>
  <c r="G178" i="29"/>
  <c r="G179" i="29"/>
  <c r="O46" i="22"/>
  <c r="P43" i="22"/>
  <c r="I46" i="22"/>
  <c r="I68" i="22"/>
  <c r="I65" i="22"/>
  <c r="H12" i="69"/>
  <c r="H14" i="69"/>
  <c r="O45" i="22"/>
  <c r="P39" i="22"/>
  <c r="P40" i="22"/>
  <c r="H26" i="69"/>
  <c r="H30" i="69"/>
  <c r="G24" i="69"/>
  <c r="G11" i="68"/>
  <c r="G13" i="68"/>
  <c r="F26" i="69"/>
  <c r="O68" i="22"/>
  <c r="H132" i="29"/>
  <c r="H133" i="29"/>
  <c r="H134" i="29"/>
  <c r="H162" i="29"/>
  <c r="H163" i="29"/>
  <c r="H164" i="29"/>
  <c r="H23" i="68"/>
  <c r="H147" i="29"/>
  <c r="H148" i="29"/>
  <c r="H149" i="29"/>
  <c r="H177" i="29"/>
  <c r="H178" i="29"/>
  <c r="H179" i="29"/>
  <c r="H41" i="29"/>
  <c r="H43" i="29"/>
  <c r="H47" i="29"/>
  <c r="C49" i="29"/>
  <c r="D29" i="62"/>
  <c r="I109" i="29"/>
  <c r="G109" i="29"/>
  <c r="O67" i="22"/>
  <c r="P44" i="22"/>
  <c r="P66" i="22"/>
  <c r="G97" i="22"/>
  <c r="P65" i="22"/>
  <c r="Q37" i="22"/>
  <c r="H11" i="68"/>
  <c r="G26" i="69"/>
  <c r="H12" i="68"/>
  <c r="I12" i="68"/>
  <c r="I11" i="68"/>
  <c r="H109" i="29"/>
  <c r="P46" i="22"/>
  <c r="P45" i="22"/>
  <c r="Q38" i="22"/>
  <c r="Q40" i="22"/>
  <c r="I13" i="68"/>
  <c r="H13" i="68"/>
  <c r="P67" i="22"/>
  <c r="Q43" i="22"/>
  <c r="P68" i="22"/>
  <c r="Q39" i="22"/>
  <c r="Q44" i="22"/>
  <c r="Q46" i="22"/>
  <c r="Q68" i="22"/>
  <c r="Q65" i="22"/>
  <c r="Q45" i="22"/>
  <c r="Q67" i="22"/>
  <c r="Q66" i="22"/>
  <c r="H97" i="22"/>
  <c r="C110" i="29"/>
  <c r="C26" i="68"/>
  <c r="C112" i="29"/>
  <c r="C114" i="29"/>
  <c r="B27" i="69"/>
  <c r="B30" i="69"/>
  <c r="C30" i="68"/>
  <c r="J38" i="21"/>
  <c r="J40" i="21"/>
  <c r="C32" i="68"/>
  <c r="C33" i="68"/>
  <c r="C35" i="68"/>
  <c r="B7" i="69"/>
  <c r="B10" i="69"/>
  <c r="B19" i="69"/>
  <c r="D34" i="68"/>
  <c r="C58" i="29"/>
  <c r="C63" i="29"/>
  <c r="C67" i="29"/>
  <c r="D9" i="29"/>
  <c r="D14" i="29"/>
  <c r="C80" i="29"/>
  <c r="B51" i="21"/>
  <c r="B36" i="69"/>
  <c r="B38" i="69"/>
  <c r="D15" i="29"/>
  <c r="B40" i="69"/>
  <c r="B42" i="69"/>
  <c r="B45" i="69"/>
  <c r="C35" i="69"/>
  <c r="D110" i="29"/>
  <c r="D26" i="68"/>
  <c r="D112" i="29"/>
  <c r="C27" i="69"/>
  <c r="C30" i="69"/>
  <c r="D30" i="68"/>
  <c r="D32" i="68"/>
  <c r="D114" i="29"/>
  <c r="D33" i="68"/>
  <c r="D35" i="68"/>
  <c r="C7" i="69"/>
  <c r="C10" i="69"/>
  <c r="C19" i="69"/>
  <c r="E34" i="68"/>
  <c r="E9" i="29"/>
  <c r="E14" i="29"/>
  <c r="D80" i="29"/>
  <c r="D58" i="29"/>
  <c r="D63" i="29"/>
  <c r="D67" i="29"/>
  <c r="C36" i="69"/>
  <c r="C38" i="69"/>
  <c r="C51" i="21"/>
  <c r="D35" i="69"/>
  <c r="C40" i="69"/>
  <c r="C42" i="69"/>
  <c r="C45" i="69"/>
  <c r="E15" i="29"/>
  <c r="E110" i="29"/>
  <c r="E26" i="68"/>
  <c r="E112" i="29"/>
  <c r="D27" i="69"/>
  <c r="D30" i="69"/>
  <c r="E30" i="68"/>
  <c r="E32" i="68"/>
  <c r="E114" i="29"/>
  <c r="E33" i="68"/>
  <c r="E35" i="68"/>
  <c r="F34" i="68"/>
  <c r="D7" i="69"/>
  <c r="D10" i="69"/>
  <c r="D19" i="69"/>
  <c r="E58" i="29"/>
  <c r="E63" i="29"/>
  <c r="E67" i="29"/>
  <c r="F9" i="29"/>
  <c r="F14" i="29"/>
  <c r="E80" i="29"/>
  <c r="D36" i="69"/>
  <c r="D38" i="69"/>
  <c r="D51" i="21"/>
  <c r="F15" i="29"/>
  <c r="E35" i="69"/>
  <c r="D40" i="69"/>
  <c r="D42" i="69"/>
  <c r="D45" i="69"/>
  <c r="F110" i="29"/>
  <c r="F26" i="68"/>
  <c r="F112" i="29"/>
  <c r="F114" i="29"/>
  <c r="C116" i="29"/>
  <c r="D34" i="62"/>
  <c r="F30" i="68"/>
  <c r="F32" i="68"/>
  <c r="E27" i="69"/>
  <c r="E30" i="69"/>
  <c r="F33" i="68"/>
  <c r="F35" i="68"/>
  <c r="E7" i="69"/>
  <c r="E10" i="69"/>
  <c r="E19" i="69"/>
  <c r="G34" i="68"/>
  <c r="E36" i="69"/>
  <c r="E38" i="69"/>
  <c r="F80" i="29"/>
  <c r="G9" i="29"/>
  <c r="G14" i="29"/>
  <c r="F58" i="29"/>
  <c r="F63" i="29"/>
  <c r="F67" i="29"/>
  <c r="E51" i="21"/>
  <c r="F35" i="69"/>
  <c r="E40" i="69"/>
  <c r="E42" i="69"/>
  <c r="E45" i="69"/>
  <c r="G15" i="29"/>
  <c r="E69" i="23"/>
  <c r="G110" i="29"/>
  <c r="G26" i="68"/>
  <c r="G69" i="23"/>
  <c r="G112" i="29"/>
  <c r="C70" i="23"/>
  <c r="F27" i="69"/>
  <c r="F30" i="69"/>
  <c r="G30" i="68"/>
  <c r="G32" i="68"/>
  <c r="G33" i="68"/>
  <c r="G35" i="68"/>
  <c r="H34" i="68"/>
  <c r="D70" i="23"/>
  <c r="F7" i="69"/>
  <c r="F10" i="69"/>
  <c r="F19" i="69"/>
  <c r="E70" i="23"/>
  <c r="F36" i="69"/>
  <c r="F38" i="69"/>
  <c r="G58" i="29"/>
  <c r="G63" i="29"/>
  <c r="G67" i="29"/>
  <c r="H9" i="29"/>
  <c r="H14" i="29"/>
  <c r="G80" i="29"/>
  <c r="F51" i="21"/>
  <c r="G70" i="23"/>
  <c r="C71" i="23"/>
  <c r="F40" i="69"/>
  <c r="F42" i="69"/>
  <c r="F45" i="69"/>
  <c r="G35" i="69"/>
  <c r="D33" i="62"/>
  <c r="H99" i="29"/>
  <c r="H15" i="29"/>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E81" i="23"/>
  <c r="H27" i="68"/>
  <c r="H110" i="29"/>
  <c r="H26" i="68"/>
  <c r="G81" i="23"/>
  <c r="H112" i="29"/>
  <c r="C82" i="23"/>
  <c r="G27" i="69"/>
  <c r="G30" i="69"/>
  <c r="G48" i="21"/>
  <c r="H30" i="68"/>
  <c r="H32" i="68"/>
  <c r="H33" i="68"/>
  <c r="H35" i="68"/>
  <c r="G7" i="69"/>
  <c r="G10" i="69"/>
  <c r="G19" i="69"/>
  <c r="G49" i="21"/>
  <c r="D82" i="23"/>
  <c r="I34" i="68"/>
  <c r="E82" i="23"/>
  <c r="H80" i="29"/>
  <c r="H58" i="29"/>
  <c r="H63" i="29"/>
  <c r="H67" i="29"/>
  <c r="I95" i="29"/>
  <c r="I98" i="29"/>
  <c r="I99" i="29"/>
  <c r="I9" i="29"/>
  <c r="I14" i="29"/>
  <c r="G36" i="69"/>
  <c r="G38" i="69"/>
  <c r="G51" i="21"/>
  <c r="H35" i="69"/>
  <c r="G40" i="69"/>
  <c r="G42" i="69"/>
  <c r="G45" i="69"/>
  <c r="I15" i="29"/>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E93" i="23"/>
  <c r="D94" i="23"/>
  <c r="I27" i="68"/>
  <c r="I110" i="29"/>
  <c r="E94" i="23"/>
  <c r="I26" i="68"/>
  <c r="G93" i="23"/>
  <c r="I112" i="29"/>
  <c r="H48" i="21"/>
  <c r="I30" i="68"/>
  <c r="I32" i="68"/>
  <c r="I33" i="68"/>
  <c r="I35" i="68"/>
  <c r="H7" i="69"/>
  <c r="H10" i="69"/>
  <c r="H19" i="69"/>
  <c r="H49" i="21"/>
  <c r="I80" i="29"/>
  <c r="C82" i="29"/>
  <c r="C85" i="29"/>
  <c r="D30" i="62"/>
  <c r="J95" i="29"/>
  <c r="J98" i="29"/>
  <c r="J99" i="29"/>
  <c r="I58" i="29"/>
  <c r="I63" i="29"/>
  <c r="I67" i="29"/>
  <c r="C69" i="29"/>
  <c r="C73" i="29"/>
  <c r="D32" i="62"/>
  <c r="J9" i="29"/>
  <c r="J14" i="29"/>
  <c r="J15" i="29"/>
  <c r="C16" i="29"/>
  <c r="H36" i="69"/>
  <c r="H38" i="69"/>
  <c r="H40" i="69"/>
  <c r="H42" i="69"/>
  <c r="H45" i="69"/>
  <c r="H51" i="21"/>
  <c r="D31" i="62"/>
  <c r="D18" i="29"/>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<sst xmlns="http://schemas.openxmlformats.org/spreadsheetml/2006/main" count="1453" uniqueCount="747">
  <si>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</si>
  <si>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</si>
  <si>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</si>
  <si>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</si>
  <si>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</si>
  <si>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</si>
  <si>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</si>
  <si>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</si>
  <si>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</si>
  <si>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</si>
  <si>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</si>
  <si>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</si>
  <si>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</si>
  <si>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</si>
  <si>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</si>
  <si>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</si>
  <si>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</si>
  <si>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</si>
  <si>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</si>
  <si>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</si>
  <si>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</si>
  <si>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</si>
  <si>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</si>
  <si>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</si>
  <si>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</si>
  <si>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</si>
  <si>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</si>
  <si>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</si>
  <si>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</si>
  <si>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</si>
  <si>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</si>
  <si>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</si>
  <si>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</si>
  <si>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</si>
  <si>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</si>
  <si>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</si>
  <si>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</si>
  <si>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</si>
  <si>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</si>
  <si>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</si>
  <si>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</si>
  <si>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</si>
  <si>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</si>
  <si>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</si>
  <si>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</si>
  <si>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</si>
  <si>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</si>
  <si>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</si>
  <si>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</si>
  <si>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</si>
  <si>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</si>
  <si>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</si>
  <si>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</si>
  <si>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</si>
  <si>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</si>
  <si>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</si>
  <si>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</si>
  <si>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</si>
  <si>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</si>
  <si>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</si>
  <si>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</si>
  <si>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</si>
  <si>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</si>
  <si>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</si>
  <si>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</si>
  <si>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</si>
  <si>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</si>
  <si>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</si>
  <si>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</si>
  <si>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</si>
  <si>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</si>
  <si>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</si>
  <si>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</si>
  <si>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</si>
  <si>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</si>
  <si>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</si>
  <si>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</si>
  <si>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</si>
  <si>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</si>
  <si>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</si>
  <si>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</si>
  <si>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</si>
  <si>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</si>
  <si>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</si>
  <si>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</si>
  <si>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</si>
  <si>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</si>
  <si>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</si>
  <si>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</si>
  <si>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</si>
  <si>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</si>
  <si>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</si>
  <si>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</si>
  <si>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</si>
  <si>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</si>
  <si>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</si>
  <si>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</si>
  <si>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</si>
  <si>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</si>
  <si>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</si>
  <si>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</si>
  <si>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</si>
  <si>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</si>
  <si>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</si>
  <si>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</si>
  <si>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</si>
  <si>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</si>
  <si>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</si>
  <si>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</si>
  <si>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</si>
  <si>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</si>
  <si>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</si>
  <si>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</si>
  <si>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</si>
  <si>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</si>
  <si>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</si>
  <si>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</si>
  <si>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</si>
  <si>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</si>
  <si>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</si>
  <si>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</si>
  <si>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</si>
  <si>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</si>
  <si>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</si>
  <si>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</si>
  <si>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</si>
  <si>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</si>
  <si>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</si>
  <si>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</si>
  <si>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</si>
  <si>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</si>
  <si>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</si>
  <si>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</si>
  <si>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</si>
  <si>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</si>
  <si>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</si>
  <si>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</si>
  <si>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</si>
  <si>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</si>
  <si>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</si>
  <si>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</si>
  <si>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</si>
  <si>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</si>
  <si>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</si>
  <si>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</si>
  <si>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</si>
  <si>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</si>
  <si>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</si>
  <si>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</si>
  <si>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</si>
  <si>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</si>
  <si>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</si>
  <si>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</si>
  <si>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</si>
  <si>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</si>
  <si>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</si>
  <si>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</si>
  <si>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</si>
  <si>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</si>
  <si>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</si>
  <si>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</si>
  <si>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</si>
  <si>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</si>
  <si>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</si>
  <si>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</si>
  <si>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</si>
  <si>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</si>
  <si>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</si>
  <si>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</si>
  <si>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</si>
  <si>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</si>
  <si>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</si>
  <si>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</si>
  <si>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</si>
  <si>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</si>
  <si>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</si>
  <si>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</si>
  <si>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</si>
  <si>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</si>
  <si>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</si>
  <si>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</si>
  <si>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</si>
  <si>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</si>
  <si>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</si>
  <si>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</si>
  <si>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</si>
  <si>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</si>
  <si>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</si>
  <si>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</si>
  <si>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</si>
  <si>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</si>
  <si>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</si>
  <si>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</si>
  <si>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</si>
  <si>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</si>
  <si>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</si>
  <si>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</si>
  <si>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</si>
  <si>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</si>
  <si>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</si>
  <si>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</si>
  <si>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</si>
  <si>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</si>
  <si>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</si>
  <si>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</si>
  <si>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</si>
  <si>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</si>
  <si>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</si>
  <si>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</si>
  <si>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</si>
  <si>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</si>
  <si>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</si>
  <si>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</si>
  <si>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</si>
  <si>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</si>
  <si>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</si>
  <si>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</si>
  <si>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</si>
  <si>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</si>
  <si>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</si>
  <si>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</si>
  <si>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</si>
  <si>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</si>
  <si>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</si>
  <si>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</si>
  <si>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</si>
  <si>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</si>
  <si>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</si>
  <si>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</si>
  <si>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</si>
  <si>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</si>
  <si>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</si>
  <si>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</si>
  <si>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</si>
  <si>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</si>
  <si>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</si>
  <si>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</si>
  <si>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</si>
  <si>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</si>
  <si>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</si>
  <si>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</si>
  <si>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</si>
  <si>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</si>
  <si>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</si>
  <si>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</si>
  <si>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</si>
  <si>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</si>
  <si>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</si>
  <si>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</si>
  <si>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</si>
  <si>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</si>
  <si>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</si>
  <si>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</si>
  <si>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</si>
  <si>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</si>
  <si>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</si>
  <si>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</si>
  <si>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</si>
  <si>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</si>
  <si>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</si>
  <si>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</si>
  <si>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</si>
  <si>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</si>
  <si>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</si>
  <si>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</si>
  <si>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</si>
  <si>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</si>
  <si>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</si>
  <si>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</si>
  <si>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</si>
  <si>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</si>
  <si>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</si>
  <si>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</si>
  <si>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</si>
  <si>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</si>
  <si>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</si>
  <si>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</si>
  <si>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</si>
  <si>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</si>
  <si>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</si>
  <si>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</si>
  <si>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</si>
  <si>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</si>
  <si>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</si>
  <si>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</si>
  <si>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</si>
  <si>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</si>
  <si>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</si>
  <si>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</si>
  <si>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</si>
  <si>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</si>
  <si>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</si>
  <si>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</si>
  <si>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</si>
  <si>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</si>
  <si>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</si>
  <si>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</si>
  <si>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</si>
  <si>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</si>
  <si>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</si>
  <si>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</si>
  <si>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</si>
  <si>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</si>
  <si>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</si>
  <si>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</si>
  <si>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</si>
  <si>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</si>
  <si>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</si>
  <si>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</si>
  <si>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</si>
  <si>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</si>
  <si>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</si>
  <si>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</si>
  <si>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</si>
  <si>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</si>
  <si>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</si>
  <si>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</si>
  <si>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</si>
  <si>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</si>
  <si>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</si>
  <si>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</si>
  <si>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</si>
  <si>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</si>
  <si>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</si>
  <si>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</si>
  <si>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</si>
  <si>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</si>
  <si>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</si>
  <si>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</si>
  <si>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</si>
  <si>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</si>
  <si>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</si>
  <si>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</si>
  <si>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</si>
  <si>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</si>
  <si>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</si>
  <si>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</si>
  <si>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</si>
  <si>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</si>
  <si>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</si>
  <si>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</si>
  <si>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</si>
  <si>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</si>
  <si>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</si>
  <si>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</si>
  <si>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</si>
  <si>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</si>
  <si>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</si>
  <si>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</si>
  <si>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</si>
  <si>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</si>
  <si>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</si>
  <si>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</si>
  <si>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</si>
  <si>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</si>
  <si>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</si>
  <si>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</si>
  <si>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</si>
  <si>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</si>
  <si>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</si>
  <si>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</si>
  <si>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</si>
  <si>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</si>
  <si>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</si>
  <si>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</si>
  <si>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</si>
  <si>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</si>
  <si>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</si>
  <si>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</si>
  <si>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</si>
  <si>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</si>
  <si>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</si>
  <si>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</si>
  <si>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</si>
  <si>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</si>
  <si>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</si>
  <si>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</si>
  <si>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</si>
  <si>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</si>
  <si>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</si>
  <si>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</si>
  <si>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</si>
  <si>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</si>
  <si>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</si>
  <si>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</si>
  <si>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</si>
  <si>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</si>
  <si>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</si>
  <si>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</si>
  <si>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</si>
  <si>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</si>
  <si>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</si>
  <si>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</si>
  <si>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</si>
  <si>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</si>
  <si>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</si>
  <si>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</si>
  <si>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</si>
  <si>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</si>
  <si>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</si>
  <si>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</si>
  <si>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</si>
  <si>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</si>
  <si>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</si>
  <si>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</si>
  <si>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</si>
  <si>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</si>
  <si>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</si>
  <si>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</si>
  <si>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</si>
  <si>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</si>
  <si>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</si>
  <si>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</si>
  <si>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</si>
  <si>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</si>
  <si>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</si>
  <si>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</si>
  <si>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</si>
  <si>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</si>
  <si>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</si>
  <si>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</si>
  <si>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</si>
  <si>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</si>
  <si>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</si>
  <si>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</si>
  <si>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</si>
  <si>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</si>
  <si>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</si>
  <si>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</si>
  <si>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</si>
  <si>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</si>
  <si>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</si>
  <si>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</si>
  <si>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</si>
  <si>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</si>
  <si>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</si>
  <si>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</si>
  <si>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</si>
  <si>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</si>
  <si>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</si>
  <si>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</si>
  <si>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</si>
  <si>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</si>
  <si>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</si>
  <si>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</si>
  <si>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</si>
  <si>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</si>
  <si>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</si>
  <si>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</si>
  <si>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</si>
  <si>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</si>
  <si>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</si>
  <si>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</si>
  <si>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</si>
  <si>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</si>
  <si>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</si>
  <si>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</si>
  <si>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</si>
  <si>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</si>
  <si>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</si>
  <si>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</si>
  <si>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</si>
  <si>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</si>
  <si>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</si>
  <si>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</si>
  <si>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</si>
  <si>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</si>
  <si>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</si>
  <si>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</si>
  <si>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</si>
  <si>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</si>
  <si>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</si>
  <si>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</si>
  <si>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</si>
  <si>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</si>
  <si>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</si>
  <si>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</si>
  <si>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</si>
  <si>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</si>
  <si>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</si>
  <si>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</si>
  <si>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</si>
  <si>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</si>
  <si>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</si>
  <si>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</si>
  <si>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</si>
  <si>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</si>
  <si>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</si>
  <si>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</si>
  <si>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</si>
  <si>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</si>
  <si>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</si>
  <si>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</si>
  <si>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</si>
  <si>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</si>
  <si>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</si>
  <si>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</si>
  <si>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</si>
  <si>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</si>
  <si>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</si>
  <si>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</si>
  <si>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</si>
  <si>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</si>
  <si>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</si>
  <si>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</si>
  <si>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</si>
  <si>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</si>
  <si>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</si>
  <si>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</si>
  <si>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</si>
  <si>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</si>
  <si>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</si>
  <si>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</si>
  <si>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</si>
  <si>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</si>
  <si>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</si>
  <si>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</si>
  <si>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</si>
  <si>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</si>
  <si>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</si>
  <si>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</si>
  <si>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</si>
  <si>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</si>
  <si>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</si>
  <si>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</si>
  <si>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</si>
  <si>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</si>
  <si>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</si>
  <si>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</si>
  <si>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</si>
  <si>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</si>
  <si>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</si>
  <si>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</si>
  <si>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</si>
  <si>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</si>
  <si>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</si>
  <si>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</si>
  <si>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</si>
  <si>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</si>
  <si>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</si>
  <si>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</si>
  <si>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</si>
  <si>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</si>
  <si>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</si>
  <si>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</si>
  <si>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</si>
  <si>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</si>
  <si>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</si>
  <si>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</si>
  <si>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</si>
  <si>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</si>
  <si>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</si>
  <si>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</si>
  <si>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</si>
  <si>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</si>
  <si>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</si>
  <si>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</si>
  <si>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</si>
  <si>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</si>
  <si>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</si>
  <si>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</si>
  <si>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</si>
  <si>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</si>
  <si>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</si>
  <si>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</si>
  <si>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</si>
  <si>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</si>
  <si>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</si>
  <si>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</si>
  <si>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</si>
  <si>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</si>
  <si>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</si>
  <si>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</si>
  <si>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</si>
  <si>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</si>
  <si>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</si>
  <si>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</si>
  <si>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</si>
  <si>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</si>
  <si>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</si>
  <si>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</si>
  <si>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</si>
  <si>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</si>
  <si>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</si>
  <si>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</si>
  <si>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</si>
  <si>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</si>
  <si>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</si>
  <si>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</si>
  <si>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</si>
  <si>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</si>
  <si>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</si>
  <si>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</si>
  <si>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</si>
  <si>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</si>
  <si>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</si>
  <si>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</si>
  <si>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</si>
  <si>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</si>
  <si>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</si>
  <si>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</si>
  <si>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</si>
  <si>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</si>
  <si>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</si>
  <si>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</si>
  <si>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</si>
  <si>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</si>
  <si>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</si>
  <si>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</si>
  <si>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</si>
  <si>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</si>
  <si>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</si>
  <si>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</si>
  <si>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</si>
  <si>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</si>
  <si>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</si>
  <si>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</si>
  <si>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</si>
  <si>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</si>
  <si>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</si>
  <si>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</si>
  <si>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</si>
  <si>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</si>
  <si>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</si>
  <si>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</si>
  <si>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</si>
  <si>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</si>
  <si>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</si>
  <si>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</si>
  <si>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</si>
  <si>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</si>
  <si>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</si>
  <si>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</si>
  <si>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</si>
  <si>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</si>
  <si>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</si>
  <si>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</si>
  <si>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</si>
  <si>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</si>
  <si>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</si>
  <si>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</si>
  <si>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</si>
  <si>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</si>
  <si>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</si>
  <si>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</si>
  <si>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</si>
  <si>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</si>
  <si>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</si>
  <si>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</si>
  <si>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</si>
  <si>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</si>
  <si>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</si>
  <si>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</si>
  <si>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</si>
  <si>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</si>
  <si>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</si>
  <si>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</si>
  <si>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</si>
  <si>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</si>
  <si>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</si>
  <si>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</si>
  <si>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</si>
  <si>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</si>
  <si>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</si>
  <si>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</si>
  <si>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</si>
  <si>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</si>
  <si>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</si>
  <si>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Turmeric</t>
  </si>
  <si>
    <t>Channa</t>
  </si>
  <si>
    <t>Tur</t>
  </si>
  <si>
    <t>Foundation Frame</t>
  </si>
  <si>
    <t>Erection Charges</t>
  </si>
  <si>
    <t>GST @5%</t>
  </si>
  <si>
    <t>Shed for Cleaning Grading and Sorting Unit</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</si>
  <si>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</si>
  <si>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</si>
  <si>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</si>
  <si>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</si>
  <si>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</si>
  <si>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</si>
  <si>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</si>
  <si>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</si>
  <si>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</si>
  <si>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</si>
  <si>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</si>
  <si>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</si>
  <si>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</si>
  <si>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</si>
  <si>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OR 6 Tons/Per Hours</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</si>
  <si>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</si>
  <si>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</si>
  <si>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</si>
  <si>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</si>
  <si>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</si>
  <si>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</si>
  <si>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</si>
  <si>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</si>
  <si>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</si>
  <si>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</si>
  <si>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</si>
  <si>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</si>
  <si>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Lease</t>
  </si>
  <si>
    <t>BUSINESS CALCULATOR OF GOVIND PRABHU FARMERS PRODUCER COMPANY LIMITED</t>
  </si>
  <si>
    <t>Labour</t>
  </si>
  <si>
    <t>Job Work</t>
  </si>
  <si>
    <t>Total Quantity Stored per Annum in MT</t>
  </si>
  <si>
    <t>Warehouse for Storing - 700 MT</t>
  </si>
  <si>
    <t>Sq Mtrs</t>
  </si>
  <si>
    <t>Partition and Tables</t>
  </si>
  <si>
    <t>Computer</t>
  </si>
  <si>
    <t>Laptop</t>
  </si>
  <si>
    <t>Printer</t>
  </si>
  <si>
    <t>Colour Printer</t>
  </si>
  <si>
    <t>UPS</t>
  </si>
  <si>
    <t>Dot Matrix Printer</t>
  </si>
  <si>
    <t>Laser Printer</t>
  </si>
  <si>
    <t>D Link Port</t>
  </si>
  <si>
    <t>Other Expenses</t>
  </si>
  <si>
    <t>Report Preparation</t>
  </si>
  <si>
    <t>VB Bucket Elevator</t>
  </si>
  <si>
    <t>1 HP</t>
  </si>
  <si>
    <t>Seed Grader Cleaner</t>
  </si>
  <si>
    <t>2 TPH</t>
  </si>
  <si>
    <t>Gravity Separator</t>
  </si>
  <si>
    <t>9.5 HP</t>
  </si>
  <si>
    <t>Destoner</t>
  </si>
  <si>
    <t>2 Hp</t>
  </si>
  <si>
    <t>Surge Bin</t>
  </si>
  <si>
    <t xml:space="preserve">The project internal rate of return shall be more than 10% </t>
  </si>
  <si>
    <t xml:space="preserve">RoCE  for the project shall be more than 12% </t>
  </si>
  <si>
    <t>Weigh Bridge 60 MT</t>
  </si>
  <si>
    <t xml:space="preserve"> </t>
  </si>
  <si>
    <t>Increase in accounts Payable</t>
  </si>
  <si>
    <t>Increase in accounts Receivable</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</si>
  <si>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</si>
  <si>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theme="1"/>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theme="1"/>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Garamond"/>
        <family val="1"/>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</si>
  <si>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Garamond"/>
        <family val="1"/>
      </rPr>
      <t xml:space="preserve">. </t>
    </r>
  </si>
  <si>
    <t>Weighing Machine - 60 MT</t>
  </si>
  <si>
    <t>Installation</t>
  </si>
  <si>
    <t>Stamp Charges</t>
  </si>
  <si>
    <t>GST @18%</t>
  </si>
  <si>
    <t>Other Labour</t>
  </si>
  <si>
    <t>Sum</t>
  </si>
  <si>
    <t>Average</t>
  </si>
  <si>
    <t>Running Total</t>
  </si>
  <si>
    <t>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</si>
</sst>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 #,##0.0_ ;_ * \-#,##0.0_ ;_ * &quot;-&quot;??_ ;_ @_ "/>
    <numFmt numFmtId="176"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FFFF"/>
      <name val="Garamond"/>
      <family val="1"/>
    </font>
    <font>
      <sz val="11"/>
      <color rgb="FF000000"/>
      <name val="Garamond"/>
      <family val="1"/>
    </font>
    <font>
      <b/>
      <sz val="11"/>
      <color rgb="FF000000"/>
      <name val="Garamond"/>
      <family val="1"/>
    </font>
    <font>
      <u/>
      <sz val="10"/>
      <color indexed="12"/>
      <name val="Arial"/>
      <family val="2"/>
    </font>
    <font>
      <sz val="11"/>
      <color indexed="8"/>
      <name val="Calibri"/>
      <family val="2"/>
    </font>
    <font>
      <b/>
      <sz val="11"/>
      <color theme="0"/>
      <name val="Times New Roman"/>
      <family val="1"/>
    </font>
    <font>
      <b/>
      <sz val="14"/>
      <color theme="1"/>
      <name val="Times New Roman"/>
      <family val="1"/>
    </font>
    <font>
      <sz val="11"/>
      <color theme="1"/>
      <name val="Times New Roman"/>
      <family val="1"/>
    </font>
    <font>
      <b/>
      <sz val="11"/>
      <color theme="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sz val="11"/>
      <color theme="1"/>
      <name val="Garamond"/>
      <family val="1"/>
    </font>
    <font>
      <b/>
      <sz val="11"/>
      <color theme="0"/>
      <name val="Garamond"/>
      <family val="1"/>
    </font>
    <font>
      <b/>
      <sz val="11"/>
      <color theme="1"/>
      <name val="Garamond"/>
      <family val="1"/>
    </font>
    <font>
      <b/>
      <sz val="11"/>
      <color indexed="8"/>
      <name val="Garamond"/>
      <family val="1"/>
    </font>
    <font>
      <b/>
      <u/>
      <sz val="11"/>
      <color indexed="8"/>
      <name val="Garamond"/>
      <family val="1"/>
    </font>
    <font>
      <b/>
      <i/>
      <sz val="11"/>
      <color indexed="8"/>
      <name val="Garamond"/>
      <family val="1"/>
    </font>
    <font>
      <sz val="11"/>
      <name val="Garamond"/>
      <family val="1"/>
    </font>
    <font>
      <sz val="11"/>
      <color indexed="8"/>
      <name val="Garamond"/>
      <family val="1"/>
    </font>
    <font>
      <b/>
      <u/>
      <sz val="11"/>
      <color indexed="12"/>
      <name val="Garamond"/>
      <family val="1"/>
    </font>
    <font>
      <sz val="11"/>
      <color theme="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b/>
      <u/>
      <sz val="11"/>
      <color theme="1"/>
      <name val="Garamond"/>
      <family val="1"/>
    </font>
    <font>
      <sz val="11"/>
      <color rgb="FFC00000"/>
      <name val="Garamond"/>
      <family val="1"/>
    </font>
    <font>
      <b/>
      <sz val="11"/>
      <color rgb="FFC00000"/>
      <name val="Garamond"/>
      <family val="1"/>
    </font>
    <font>
      <sz val="11"/>
      <color rgb="FFFF0000"/>
      <name val="Garamond"/>
      <family val="1"/>
    </font>
    <font>
      <sz val="11"/>
      <color rgb="FF222222"/>
      <name val="Garamond"/>
      <family val="1"/>
    </font>
    <font>
      <sz val="11"/>
      <color rgb="FF424142"/>
      <name val="Garamond"/>
      <family val="1"/>
    </font>
    <font>
      <sz val="11"/>
      <color rgb="FF000000"/>
      <name val="Times New Roman"/>
      <family val="1"/>
    </font>
    <font>
      <b/>
      <sz val="11"/>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8" fillId="0" borderId="0" applyFont="0" applyFill="0" applyBorder="0" applyAlignment="0" applyProtection="0"/>
  </cellStyleXfs>
  <cellXfs count="503">
    <xf numFmtId="0" fontId="0" fillId="0" borderId="0" xfId="0"/>
    <xf numFmtId="0" fontId="2" fillId="0" borderId="1" xfId="0" applyFont="1" applyBorder="1"/>
    <xf numFmtId="9" fontId="0" fillId="0" borderId="0" xfId="1" applyFont="1"/>
    <xf numFmtId="9" fontId="0" fillId="0" borderId="0" xfId="0" applyNumberFormat="1"/>
    <xf numFmtId="10" fontId="0" fillId="0" borderId="0" xfId="0" applyNumberFormat="1"/>
    <xf numFmtId="0" fontId="0" fillId="0" borderId="1" xfId="0" applyBorder="1"/>
    <xf numFmtId="0" fontId="0" fillId="0" borderId="0" xfId="0" applyFill="1"/>
    <xf numFmtId="0" fontId="0" fillId="0" borderId="0" xfId="0" applyBorder="1" applyAlignment="1">
      <alignment horizontal="center"/>
    </xf>
    <xf numFmtId="168" fontId="6" fillId="0" borderId="1" xfId="3" applyNumberFormat="1" applyFont="1" applyBorder="1" applyAlignment="1">
      <alignment horizontal="right" vertical="center" wrapText="1"/>
    </xf>
    <xf numFmtId="0" fontId="4" fillId="2" borderId="1" xfId="0" applyFont="1" applyFill="1" applyBorder="1" applyAlignment="1">
      <alignment vertical="center" wrapText="1"/>
    </xf>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0" fontId="4" fillId="2" borderId="1" xfId="0" applyFont="1" applyFill="1" applyBorder="1" applyAlignment="1">
      <alignment horizontal="center" vertical="center" wrapText="1"/>
    </xf>
    <xf numFmtId="0" fontId="2" fillId="0" borderId="0" xfId="0" applyFont="1" applyAlignment="1">
      <alignment horizontal="center"/>
    </xf>
    <xf numFmtId="170" fontId="0" fillId="0" borderId="10" xfId="2" applyNumberFormat="1" applyFont="1" applyBorder="1"/>
    <xf numFmtId="170" fontId="0" fillId="0" borderId="0" xfId="0" applyNumberFormat="1"/>
    <xf numFmtId="0" fontId="9" fillId="5" borderId="1" xfId="0" applyFont="1" applyFill="1" applyBorder="1"/>
    <xf numFmtId="0" fontId="9" fillId="5" borderId="1" xfId="0" applyFont="1" applyFill="1" applyBorder="1" applyAlignment="1">
      <alignment horizontal="center"/>
    </xf>
    <xf numFmtId="0" fontId="11" fillId="0" borderId="0" xfId="0" applyFont="1"/>
    <xf numFmtId="0" fontId="11" fillId="0" borderId="1" xfId="0" applyFont="1" applyBorder="1"/>
    <xf numFmtId="170" fontId="11" fillId="0" borderId="1" xfId="2" applyNumberFormat="1" applyFont="1" applyBorder="1"/>
    <xf numFmtId="0" fontId="12" fillId="0" borderId="1" xfId="0" applyFont="1" applyBorder="1"/>
    <xf numFmtId="0" fontId="11" fillId="0" borderId="1" xfId="0" applyFont="1" applyFill="1" applyBorder="1"/>
    <xf numFmtId="0" fontId="12" fillId="0" borderId="1" xfId="0" applyFont="1" applyFill="1" applyBorder="1"/>
    <xf numFmtId="0" fontId="11" fillId="0" borderId="1" xfId="0" applyFont="1" applyBorder="1" applyAlignment="1">
      <alignment wrapText="1"/>
    </xf>
    <xf numFmtId="9" fontId="11" fillId="0" borderId="1" xfId="1" applyFont="1" applyBorder="1"/>
    <xf numFmtId="170" fontId="12" fillId="0" borderId="1" xfId="2" applyNumberFormat="1" applyFont="1" applyBorder="1"/>
    <xf numFmtId="0" fontId="12" fillId="0" borderId="0" xfId="0" applyFont="1"/>
    <xf numFmtId="0" fontId="9" fillId="2" borderId="1" xfId="0" applyFont="1" applyFill="1" applyBorder="1" applyAlignment="1">
      <alignment horizontal="center"/>
    </xf>
    <xf numFmtId="0" fontId="9" fillId="2" borderId="1" xfId="0" applyFont="1" applyFill="1" applyBorder="1"/>
    <xf numFmtId="9" fontId="11" fillId="0" borderId="0" xfId="0" applyNumberFormat="1" applyFont="1"/>
    <xf numFmtId="10" fontId="11" fillId="0" borderId="0" xfId="0" applyNumberFormat="1" applyFont="1"/>
    <xf numFmtId="0" fontId="11" fillId="0" borderId="0" xfId="0" applyFont="1" applyBorder="1"/>
    <xf numFmtId="0" fontId="11" fillId="0" borderId="0" xfId="0" applyFont="1" applyFill="1" applyBorder="1"/>
    <xf numFmtId="43" fontId="11" fillId="0" borderId="1" xfId="0" applyNumberFormat="1" applyFont="1" applyBorder="1"/>
    <xf numFmtId="0" fontId="12" fillId="0" borderId="0" xfId="0" applyFont="1" applyAlignment="1">
      <alignment horizontal="center"/>
    </xf>
    <xf numFmtId="9" fontId="12" fillId="0" borderId="0" xfId="0" applyNumberFormat="1" applyFont="1" applyAlignment="1">
      <alignment horizontal="center"/>
    </xf>
    <xf numFmtId="10" fontId="12" fillId="0" borderId="0" xfId="0" applyNumberFormat="1" applyFont="1" applyAlignment="1">
      <alignment horizontal="center"/>
    </xf>
    <xf numFmtId="170" fontId="11" fillId="0" borderId="1" xfId="2" applyNumberFormat="1" applyFont="1" applyFill="1" applyBorder="1"/>
    <xf numFmtId="0" fontId="12" fillId="0" borderId="1" xfId="0" applyFont="1" applyBorder="1" applyAlignment="1">
      <alignment wrapText="1"/>
    </xf>
    <xf numFmtId="168" fontId="11" fillId="0" borderId="1" xfId="3" applyNumberFormat="1" applyFont="1" applyFill="1" applyBorder="1"/>
    <xf numFmtId="168" fontId="11" fillId="0" borderId="1" xfId="0" applyNumberFormat="1" applyFont="1" applyFill="1" applyBorder="1"/>
    <xf numFmtId="168" fontId="11" fillId="0" borderId="0" xfId="0" applyNumberFormat="1" applyFont="1"/>
    <xf numFmtId="170" fontId="11" fillId="0" borderId="11" xfId="2" applyNumberFormat="1" applyFont="1" applyBorder="1"/>
    <xf numFmtId="170" fontId="12" fillId="0" borderId="1" xfId="2" applyNumberFormat="1" applyFont="1" applyBorder="1" applyAlignment="1">
      <alignment wrapText="1"/>
    </xf>
    <xf numFmtId="0" fontId="11" fillId="6" borderId="1" xfId="0" applyFont="1" applyFill="1" applyBorder="1"/>
    <xf numFmtId="0" fontId="12" fillId="6" borderId="1" xfId="0" applyFont="1" applyFill="1" applyBorder="1"/>
    <xf numFmtId="0" fontId="11" fillId="6" borderId="0" xfId="0" applyFont="1" applyFill="1"/>
    <xf numFmtId="170" fontId="11" fillId="6" borderId="1" xfId="2" applyNumberFormat="1" applyFont="1" applyFill="1" applyBorder="1"/>
    <xf numFmtId="0" fontId="11" fillId="6" borderId="1" xfId="0" applyFont="1" applyFill="1" applyBorder="1" applyAlignment="1">
      <alignment wrapText="1"/>
    </xf>
    <xf numFmtId="170" fontId="11" fillId="6" borderId="1" xfId="2" applyNumberFormat="1" applyFont="1" applyFill="1" applyBorder="1" applyAlignment="1">
      <alignment wrapText="1"/>
    </xf>
    <xf numFmtId="170" fontId="12" fillId="6" borderId="1" xfId="2" applyNumberFormat="1" applyFont="1" applyFill="1" applyBorder="1"/>
    <xf numFmtId="0" fontId="12" fillId="0" borderId="0" xfId="0" applyFont="1" applyBorder="1"/>
    <xf numFmtId="170" fontId="12" fillId="0" borderId="0" xfId="2" applyNumberFormat="1" applyFont="1" applyBorder="1"/>
    <xf numFmtId="9" fontId="11" fillId="7" borderId="1" xfId="0" applyNumberFormat="1" applyFont="1" applyFill="1" applyBorder="1"/>
    <xf numFmtId="0" fontId="11" fillId="7" borderId="0" xfId="0" applyFont="1" applyFill="1"/>
    <xf numFmtId="0" fontId="2" fillId="0" borderId="0" xfId="0" applyFont="1" applyAlignment="1"/>
    <xf numFmtId="0" fontId="0" fillId="6" borderId="1" xfId="0" applyFill="1" applyBorder="1"/>
    <xf numFmtId="0" fontId="0" fillId="7" borderId="1" xfId="0" applyFill="1" applyBorder="1"/>
    <xf numFmtId="0" fontId="17" fillId="5" borderId="1" xfId="0" applyFont="1" applyFill="1" applyBorder="1"/>
    <xf numFmtId="0" fontId="17" fillId="5" borderId="1" xfId="0" applyFont="1" applyFill="1" applyBorder="1" applyAlignment="1">
      <alignment wrapText="1"/>
    </xf>
    <xf numFmtId="0" fontId="0" fillId="0" borderId="1" xfId="0" applyBorder="1" applyAlignment="1">
      <alignment horizontal="center"/>
    </xf>
    <xf numFmtId="0" fontId="17"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11" fillId="0" borderId="1" xfId="0" applyFont="1" applyFill="1" applyBorder="1" applyAlignment="1">
      <alignment wrapText="1"/>
    </xf>
    <xf numFmtId="9" fontId="0" fillId="6" borderId="1" xfId="1" applyFont="1" applyFill="1" applyBorder="1"/>
    <xf numFmtId="9" fontId="0" fillId="7" borderId="1" xfId="0" applyNumberFormat="1" applyFill="1" applyBorder="1"/>
    <xf numFmtId="0" fontId="2" fillId="0" borderId="6" xfId="0" applyFont="1" applyFill="1" applyBorder="1" applyAlignment="1">
      <alignment wrapText="1"/>
    </xf>
    <xf numFmtId="171" fontId="0" fillId="0" borderId="0" xfId="0" applyNumberFormat="1"/>
    <xf numFmtId="0" fontId="0" fillId="0" borderId="1" xfId="0" applyNumberFormat="1" applyBorder="1"/>
    <xf numFmtId="170" fontId="11" fillId="0" borderId="0" xfId="2" applyNumberFormat="1" applyFont="1" applyBorder="1"/>
    <xf numFmtId="0" fontId="17" fillId="5" borderId="1" xfId="0" applyFont="1" applyFill="1" applyBorder="1" applyAlignment="1">
      <alignment horizontal="center"/>
    </xf>
    <xf numFmtId="0" fontId="17"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11" fillId="0" borderId="1" xfId="0" applyNumberFormat="1" applyFont="1" applyBorder="1"/>
    <xf numFmtId="0" fontId="0" fillId="0" borderId="0" xfId="0" applyAlignment="1">
      <alignment horizontal="center"/>
    </xf>
    <xf numFmtId="9" fontId="17" fillId="7" borderId="1" xfId="0" applyNumberFormat="1" applyFont="1" applyFill="1" applyBorder="1"/>
    <xf numFmtId="9" fontId="17" fillId="7" borderId="1" xfId="0" applyNumberFormat="1" applyFont="1" applyFill="1" applyBorder="1" applyAlignment="1">
      <alignment horizontal="center"/>
    </xf>
    <xf numFmtId="0" fontId="2" fillId="0" borderId="0" xfId="0" applyFont="1" applyAlignment="1">
      <alignment horizontal="center"/>
    </xf>
    <xf numFmtId="0" fontId="12" fillId="0" borderId="0" xfId="0" applyFont="1" applyAlignment="1">
      <alignment horizontal="center"/>
    </xf>
    <xf numFmtId="0" fontId="11" fillId="7" borderId="1" xfId="0" applyFont="1" applyFill="1" applyBorder="1"/>
    <xf numFmtId="9" fontId="11"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5"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9" xfId="0" applyFont="1" applyBorder="1" applyAlignment="1">
      <alignment horizontal="center" vertical="center"/>
    </xf>
    <xf numFmtId="0" fontId="2" fillId="6" borderId="1" xfId="0" applyFont="1" applyFill="1" applyBorder="1"/>
    <xf numFmtId="0" fontId="2" fillId="0" borderId="1" xfId="0" applyFont="1" applyFill="1" applyBorder="1"/>
    <xf numFmtId="9" fontId="21" fillId="7" borderId="1" xfId="0" applyNumberFormat="1" applyFont="1" applyFill="1" applyBorder="1"/>
    <xf numFmtId="171" fontId="21" fillId="7" borderId="1" xfId="0" applyNumberFormat="1" applyFont="1" applyFill="1" applyBorder="1"/>
    <xf numFmtId="0" fontId="20" fillId="0" borderId="0" xfId="0" applyFont="1" applyAlignme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NumberForma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8" fontId="5" fillId="0" borderId="1" xfId="3" applyNumberFormat="1" applyFont="1" applyFill="1" applyBorder="1" applyAlignment="1">
      <alignment horizontal="center" vertical="center" wrapText="1"/>
    </xf>
    <xf numFmtId="168" fontId="5" fillId="0" borderId="1" xfId="3"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22" fillId="0" borderId="0" xfId="0" applyFont="1"/>
    <xf numFmtId="9" fontId="22" fillId="0" borderId="0" xfId="0" applyNumberFormat="1" applyFont="1"/>
    <xf numFmtId="10" fontId="22" fillId="0" borderId="0" xfId="0" applyNumberFormat="1" applyFont="1"/>
    <xf numFmtId="0" fontId="23" fillId="2" borderId="1" xfId="0" applyFont="1" applyFill="1" applyBorder="1"/>
    <xf numFmtId="0" fontId="23" fillId="2" borderId="1" xfId="0" applyFont="1" applyFill="1" applyBorder="1" applyAlignment="1">
      <alignment horizontal="center"/>
    </xf>
    <xf numFmtId="0" fontId="22" fillId="0" borderId="1" xfId="0" applyFont="1" applyBorder="1"/>
    <xf numFmtId="0" fontId="22" fillId="6" borderId="1" xfId="0" applyFont="1" applyFill="1" applyBorder="1"/>
    <xf numFmtId="170" fontId="22" fillId="6" borderId="1" xfId="2" applyNumberFormat="1" applyFont="1" applyFill="1" applyBorder="1"/>
    <xf numFmtId="170" fontId="22" fillId="0" borderId="1" xfId="2" applyNumberFormat="1" applyFont="1" applyBorder="1"/>
    <xf numFmtId="0" fontId="24" fillId="0" borderId="1" xfId="0" applyFont="1" applyBorder="1"/>
    <xf numFmtId="170" fontId="24" fillId="0" borderId="1" xfId="2" applyNumberFormat="1" applyFont="1" applyBorder="1"/>
    <xf numFmtId="0" fontId="19" fillId="0" borderId="0" xfId="6" applyFont="1" applyFill="1" applyBorder="1" applyAlignment="1">
      <alignment horizontal="center"/>
    </xf>
    <xf numFmtId="0" fontId="22" fillId="0" borderId="0" xfId="0" applyFont="1" applyFill="1"/>
    <xf numFmtId="0" fontId="23" fillId="2" borderId="1" xfId="8" applyFont="1" applyFill="1" applyBorder="1" applyAlignment="1" applyProtection="1"/>
    <xf numFmtId="0" fontId="25" fillId="2" borderId="1" xfId="0" applyFont="1" applyFill="1" applyBorder="1"/>
    <xf numFmtId="0" fontId="23" fillId="2" borderId="1" xfId="0" applyFont="1" applyFill="1" applyBorder="1" applyAlignment="1">
      <alignment horizontal="center" wrapText="1"/>
    </xf>
    <xf numFmtId="0" fontId="25" fillId="0" borderId="1" xfId="0" applyFont="1" applyFill="1" applyBorder="1" applyAlignment="1">
      <alignment horizontal="center"/>
    </xf>
    <xf numFmtId="0" fontId="26" fillId="0" borderId="1" xfId="0" applyFont="1" applyFill="1" applyBorder="1"/>
    <xf numFmtId="0" fontId="22" fillId="0" borderId="1" xfId="0" applyFont="1" applyFill="1" applyBorder="1"/>
    <xf numFmtId="0" fontId="27" fillId="0" borderId="1" xfId="0" applyFont="1" applyFill="1" applyBorder="1" applyAlignment="1">
      <alignment horizontal="center"/>
    </xf>
    <xf numFmtId="0" fontId="22" fillId="0" borderId="1" xfId="0" applyFont="1" applyFill="1" applyBorder="1" applyAlignment="1">
      <alignment horizontal="left"/>
    </xf>
    <xf numFmtId="0" fontId="25" fillId="0" borderId="1" xfId="0" applyFont="1" applyFill="1" applyBorder="1" applyAlignment="1">
      <alignment horizontal="left"/>
    </xf>
    <xf numFmtId="168" fontId="28" fillId="0" borderId="1" xfId="0" applyNumberFormat="1" applyFont="1" applyFill="1" applyBorder="1"/>
    <xf numFmtId="0" fontId="24" fillId="0" borderId="1" xfId="0" applyFont="1" applyFill="1" applyBorder="1" applyAlignment="1">
      <alignment horizontal="left"/>
    </xf>
    <xf numFmtId="168" fontId="19" fillId="0" borderId="1" xfId="0" applyNumberFormat="1" applyFont="1" applyFill="1" applyBorder="1"/>
    <xf numFmtId="0" fontId="22" fillId="0" borderId="0" xfId="0" applyFont="1" applyAlignment="1">
      <alignment horizontal="left"/>
    </xf>
    <xf numFmtId="168" fontId="28" fillId="0" borderId="0" xfId="0" applyNumberFormat="1" applyFont="1" applyFill="1" applyBorder="1"/>
    <xf numFmtId="0" fontId="25" fillId="3" borderId="0" xfId="0" applyFont="1" applyFill="1" applyBorder="1" applyAlignment="1">
      <alignment horizontal="left" wrapText="1"/>
    </xf>
    <xf numFmtId="0" fontId="25" fillId="0" borderId="0" xfId="0" applyFont="1" applyFill="1" applyBorder="1" applyAlignment="1">
      <alignment horizontal="center"/>
    </xf>
    <xf numFmtId="0" fontId="25" fillId="0" borderId="0" xfId="0" applyFont="1" applyFill="1" applyBorder="1"/>
    <xf numFmtId="0" fontId="25" fillId="0" borderId="0" xfId="0" applyFont="1" applyFill="1" applyBorder="1" applyAlignment="1">
      <alignment wrapText="1"/>
    </xf>
    <xf numFmtId="10" fontId="22" fillId="0" borderId="0" xfId="0" applyNumberFormat="1" applyFont="1" applyBorder="1"/>
    <xf numFmtId="0" fontId="22" fillId="0" borderId="0" xfId="0" applyFont="1" applyFill="1" applyBorder="1" applyAlignment="1">
      <alignment wrapText="1"/>
    </xf>
    <xf numFmtId="10" fontId="29" fillId="0" borderId="0" xfId="1" applyNumberFormat="1" applyFont="1" applyBorder="1"/>
    <xf numFmtId="9" fontId="22" fillId="0" borderId="0" xfId="0" applyNumberFormat="1" applyFont="1" applyBorder="1"/>
    <xf numFmtId="9" fontId="22" fillId="0" borderId="0" xfId="0" applyNumberFormat="1" applyFont="1" applyFill="1" applyBorder="1"/>
    <xf numFmtId="9" fontId="22" fillId="0" borderId="0" xfId="1" applyFont="1"/>
    <xf numFmtId="0" fontId="28" fillId="0" borderId="0" xfId="0" applyFont="1"/>
    <xf numFmtId="0" fontId="30" fillId="0" borderId="0" xfId="8" applyFont="1" applyFill="1" applyBorder="1" applyAlignment="1" applyProtection="1"/>
    <xf numFmtId="0" fontId="23" fillId="5" borderId="1" xfId="0" applyFont="1" applyFill="1" applyBorder="1" applyAlignment="1">
      <alignment vertical="center"/>
    </xf>
    <xf numFmtId="0" fontId="23" fillId="5" borderId="1" xfId="0" applyFont="1" applyFill="1" applyBorder="1" applyAlignment="1">
      <alignment horizontal="center" vertical="center"/>
    </xf>
    <xf numFmtId="168" fontId="31" fillId="5" borderId="1" xfId="3" applyNumberFormat="1" applyFont="1" applyFill="1" applyBorder="1" applyAlignment="1">
      <alignment horizontal="center"/>
    </xf>
    <xf numFmtId="168" fontId="28" fillId="0" borderId="0" xfId="3" applyNumberFormat="1" applyFont="1" applyFill="1" applyBorder="1"/>
    <xf numFmtId="0" fontId="19" fillId="0" borderId="1" xfId="0" applyFont="1" applyBorder="1" applyAlignment="1">
      <alignment vertical="center"/>
    </xf>
    <xf numFmtId="0" fontId="19" fillId="0" borderId="1" xfId="0" applyFont="1" applyBorder="1" applyAlignment="1">
      <alignment horizontal="center" vertical="center"/>
    </xf>
    <xf numFmtId="168" fontId="28" fillId="0" borderId="1" xfId="3" applyNumberFormat="1" applyFont="1" applyFill="1" applyBorder="1"/>
    <xf numFmtId="0" fontId="19" fillId="0" borderId="1" xfId="0" applyFont="1" applyBorder="1"/>
    <xf numFmtId="0" fontId="28" fillId="0" borderId="1" xfId="0" applyFont="1" applyBorder="1"/>
    <xf numFmtId="168" fontId="19" fillId="0" borderId="1" xfId="0" applyNumberFormat="1" applyFont="1" applyBorder="1"/>
    <xf numFmtId="168" fontId="19" fillId="0" borderId="0" xfId="0" applyNumberFormat="1" applyFont="1"/>
    <xf numFmtId="38" fontId="19" fillId="0" borderId="0" xfId="0" applyNumberFormat="1" applyFont="1" applyFill="1" applyBorder="1" applyAlignment="1">
      <alignment horizontal="left"/>
    </xf>
    <xf numFmtId="0" fontId="28" fillId="0" borderId="0" xfId="0" applyFont="1" applyFill="1" applyBorder="1"/>
    <xf numFmtId="0" fontId="19" fillId="0" borderId="0" xfId="6" applyFont="1" applyFill="1" applyBorder="1" applyAlignment="1"/>
    <xf numFmtId="0" fontId="19" fillId="0" borderId="0" xfId="0" applyFont="1" applyFill="1" applyBorder="1"/>
    <xf numFmtId="0" fontId="29" fillId="0" borderId="1" xfId="0" applyFont="1" applyBorder="1"/>
    <xf numFmtId="173" fontId="28" fillId="0" borderId="1" xfId="9" applyNumberFormat="1" applyFont="1" applyFill="1" applyBorder="1" applyAlignment="1">
      <alignment vertical="center"/>
    </xf>
    <xf numFmtId="174" fontId="19" fillId="0" borderId="0" xfId="9" applyNumberFormat="1" applyFont="1" applyFill="1" applyBorder="1" applyAlignment="1">
      <alignment vertical="center"/>
    </xf>
    <xf numFmtId="0" fontId="25" fillId="0" borderId="1" xfId="0" applyFont="1" applyBorder="1"/>
    <xf numFmtId="173" fontId="19" fillId="0" borderId="1" xfId="9" applyNumberFormat="1" applyFont="1" applyFill="1" applyBorder="1" applyAlignment="1">
      <alignment vertical="center"/>
    </xf>
    <xf numFmtId="0" fontId="29" fillId="0" borderId="6" xfId="0" applyFont="1" applyBorder="1"/>
    <xf numFmtId="0" fontId="19" fillId="0" borderId="6" xfId="0" applyFont="1" applyBorder="1"/>
    <xf numFmtId="9" fontId="19" fillId="7" borderId="0" xfId="1" applyFont="1" applyFill="1" applyBorder="1"/>
    <xf numFmtId="0" fontId="22" fillId="0" borderId="0" xfId="0" applyFont="1" applyFill="1" applyBorder="1"/>
    <xf numFmtId="166" fontId="22" fillId="6" borderId="0" xfId="0" applyNumberFormat="1" applyFont="1" applyFill="1" applyBorder="1"/>
    <xf numFmtId="166" fontId="22" fillId="0" borderId="0" xfId="0" applyNumberFormat="1" applyFont="1" applyBorder="1"/>
    <xf numFmtId="0" fontId="22" fillId="0" borderId="0" xfId="0" applyFont="1" applyBorder="1"/>
    <xf numFmtId="43" fontId="22" fillId="0" borderId="0" xfId="0" applyNumberFormat="1" applyFont="1" applyBorder="1"/>
    <xf numFmtId="1" fontId="22" fillId="0" borderId="0" xfId="0" applyNumberFormat="1" applyFont="1" applyBorder="1"/>
    <xf numFmtId="9" fontId="22" fillId="7" borderId="1" xfId="0" applyNumberFormat="1" applyFont="1" applyFill="1" applyBorder="1"/>
    <xf numFmtId="172" fontId="22" fillId="0" borderId="1" xfId="0" applyNumberFormat="1" applyFont="1" applyBorder="1"/>
    <xf numFmtId="0" fontId="24" fillId="0" borderId="0" xfId="0" applyFont="1" applyAlignment="1">
      <alignment horizontal="center"/>
    </xf>
    <xf numFmtId="0" fontId="24" fillId="6" borderId="1" xfId="0" applyFont="1" applyFill="1" applyBorder="1"/>
    <xf numFmtId="170" fontId="24" fillId="6" borderId="1" xfId="2" applyNumberFormat="1" applyFont="1" applyFill="1" applyBorder="1"/>
    <xf numFmtId="0" fontId="22" fillId="6" borderId="0" xfId="0" applyFont="1" applyFill="1"/>
    <xf numFmtId="0" fontId="23" fillId="5" borderId="1" xfId="0" applyFont="1" applyFill="1" applyBorder="1"/>
    <xf numFmtId="0" fontId="22" fillId="7" borderId="0" xfId="0" applyFont="1" applyFill="1"/>
    <xf numFmtId="9" fontId="22" fillId="0" borderId="1" xfId="0" applyNumberFormat="1" applyFont="1" applyBorder="1"/>
    <xf numFmtId="43" fontId="22" fillId="0" borderId="1" xfId="0" applyNumberFormat="1" applyFont="1" applyFill="1" applyBorder="1"/>
    <xf numFmtId="168" fontId="24" fillId="0" borderId="1" xfId="3" applyNumberFormat="1" applyFont="1" applyBorder="1"/>
    <xf numFmtId="0" fontId="24" fillId="7" borderId="1" xfId="0" applyFont="1" applyFill="1" applyBorder="1"/>
    <xf numFmtId="9" fontId="24" fillId="7" borderId="1" xfId="1" applyFont="1" applyFill="1" applyBorder="1"/>
    <xf numFmtId="168" fontId="24" fillId="7" borderId="1" xfId="3" applyNumberFormat="1" applyFont="1" applyFill="1" applyBorder="1"/>
    <xf numFmtId="168" fontId="22" fillId="0" borderId="1" xfId="1" applyNumberFormat="1" applyFont="1" applyBorder="1"/>
    <xf numFmtId="0" fontId="22" fillId="0" borderId="0" xfId="0" applyFont="1" applyAlignment="1">
      <alignment horizontal="center"/>
    </xf>
    <xf numFmtId="0" fontId="24" fillId="0" borderId="1" xfId="0" applyFont="1" applyFill="1" applyBorder="1"/>
    <xf numFmtId="0" fontId="24" fillId="0" borderId="0" xfId="0" applyFont="1" applyBorder="1" applyAlignment="1">
      <alignment horizontal="center"/>
    </xf>
    <xf numFmtId="9" fontId="24" fillId="0" borderId="0" xfId="0" applyNumberFormat="1" applyFont="1" applyBorder="1" applyAlignment="1">
      <alignment horizontal="center"/>
    </xf>
    <xf numFmtId="10" fontId="24" fillId="0" borderId="0" xfId="0" applyNumberFormat="1" applyFont="1" applyBorder="1" applyAlignment="1">
      <alignment horizontal="center"/>
    </xf>
    <xf numFmtId="0" fontId="23" fillId="5" borderId="1" xfId="0" applyFont="1" applyFill="1" applyBorder="1" applyAlignment="1">
      <alignment horizontal="center"/>
    </xf>
    <xf numFmtId="168" fontId="22" fillId="0" borderId="1" xfId="0" applyNumberFormat="1" applyFont="1" applyBorder="1"/>
    <xf numFmtId="172" fontId="24" fillId="6" borderId="1" xfId="0" applyNumberFormat="1" applyFont="1" applyFill="1" applyBorder="1"/>
    <xf numFmtId="168" fontId="24" fillId="0" borderId="1" xfId="0" applyNumberFormat="1" applyFont="1" applyBorder="1"/>
    <xf numFmtId="170" fontId="22" fillId="0" borderId="1" xfId="0" applyNumberFormat="1" applyFont="1" applyBorder="1"/>
    <xf numFmtId="2" fontId="22" fillId="0" borderId="1" xfId="0" applyNumberFormat="1" applyFont="1" applyBorder="1"/>
    <xf numFmtId="43" fontId="22" fillId="0" borderId="0" xfId="0" applyNumberFormat="1" applyFont="1"/>
    <xf numFmtId="0" fontId="23" fillId="0" borderId="0" xfId="0" applyFont="1" applyFill="1" applyBorder="1" applyAlignment="1">
      <alignment horizontal="center"/>
    </xf>
    <xf numFmtId="0" fontId="22" fillId="0" borderId="0" xfId="0" applyNumberFormat="1" applyFont="1" applyFill="1" applyBorder="1"/>
    <xf numFmtId="1" fontId="22" fillId="0" borderId="0" xfId="0" applyNumberFormat="1" applyFont="1" applyFill="1" applyBorder="1"/>
    <xf numFmtId="0" fontId="24" fillId="0" borderId="0" xfId="0" applyFont="1" applyFill="1" applyBorder="1"/>
    <xf numFmtId="170" fontId="24" fillId="0" borderId="0" xfId="2" applyNumberFormat="1" applyFont="1" applyFill="1" applyBorder="1"/>
    <xf numFmtId="0" fontId="24" fillId="0" borderId="0" xfId="0" applyFont="1" applyAlignment="1"/>
    <xf numFmtId="171" fontId="22" fillId="0" borderId="0" xfId="0" applyNumberFormat="1" applyFont="1"/>
    <xf numFmtId="0" fontId="23" fillId="5" borderId="1" xfId="0" applyFont="1" applyFill="1" applyBorder="1" applyAlignment="1">
      <alignment wrapText="1"/>
    </xf>
    <xf numFmtId="0" fontId="24" fillId="0" borderId="6" xfId="0" applyFont="1" applyFill="1" applyBorder="1" applyAlignment="1">
      <alignment wrapText="1"/>
    </xf>
    <xf numFmtId="9" fontId="22" fillId="6" borderId="1" xfId="1" applyFont="1" applyFill="1" applyBorder="1"/>
    <xf numFmtId="0" fontId="22" fillId="7" borderId="1" xfId="0" applyFont="1" applyFill="1" applyBorder="1"/>
    <xf numFmtId="0" fontId="22" fillId="0" borderId="9" xfId="0" applyFont="1" applyBorder="1" applyAlignment="1">
      <alignment horizontal="center" vertical="center"/>
    </xf>
    <xf numFmtId="9" fontId="22" fillId="6" borderId="1" xfId="0" applyNumberFormat="1" applyFont="1" applyFill="1" applyBorder="1"/>
    <xf numFmtId="0" fontId="22" fillId="0" borderId="1" xfId="1" applyNumberFormat="1" applyFont="1" applyFill="1" applyBorder="1"/>
    <xf numFmtId="0" fontId="22" fillId="0" borderId="15" xfId="0" applyFont="1" applyBorder="1" applyAlignment="1">
      <alignment vertical="center" wrapText="1"/>
    </xf>
    <xf numFmtId="0" fontId="22" fillId="0" borderId="2" xfId="0" applyFont="1" applyBorder="1" applyAlignment="1">
      <alignment vertical="center" wrapText="1"/>
    </xf>
    <xf numFmtId="0" fontId="22" fillId="0" borderId="9" xfId="0" applyFont="1" applyBorder="1" applyAlignment="1">
      <alignment vertical="center" wrapText="1"/>
    </xf>
    <xf numFmtId="9" fontId="23" fillId="7" borderId="1" xfId="0" applyNumberFormat="1" applyFont="1" applyFill="1" applyBorder="1"/>
    <xf numFmtId="9" fontId="23" fillId="7" borderId="1" xfId="0" applyNumberFormat="1" applyFont="1" applyFill="1" applyBorder="1" applyAlignment="1">
      <alignment horizontal="center"/>
    </xf>
    <xf numFmtId="9" fontId="31" fillId="7" borderId="1" xfId="0" applyNumberFormat="1" applyFont="1" applyFill="1" applyBorder="1"/>
    <xf numFmtId="0" fontId="31" fillId="5" borderId="1" xfId="0" applyFont="1" applyFill="1" applyBorder="1" applyAlignment="1">
      <alignment horizontal="left"/>
    </xf>
    <xf numFmtId="3" fontId="29" fillId="0" borderId="1" xfId="0" applyNumberFormat="1" applyFont="1" applyBorder="1"/>
    <xf numFmtId="3" fontId="29" fillId="0" borderId="1" xfId="2" applyNumberFormat="1" applyFont="1" applyBorder="1"/>
    <xf numFmtId="10" fontId="29" fillId="0" borderId="1" xfId="0" applyNumberFormat="1" applyFont="1" applyBorder="1"/>
    <xf numFmtId="4" fontId="29" fillId="0" borderId="1" xfId="0" applyNumberFormat="1" applyFont="1" applyBorder="1"/>
    <xf numFmtId="0" fontId="29" fillId="0" borderId="1" xfId="0" quotePrefix="1" applyFont="1" applyBorder="1" applyAlignment="1">
      <alignment horizontal="left"/>
    </xf>
    <xf numFmtId="4" fontId="22" fillId="0" borderId="0" xfId="0" applyNumberFormat="1" applyFont="1"/>
    <xf numFmtId="0" fontId="29" fillId="0" borderId="0" xfId="0" applyFont="1" applyBorder="1"/>
    <xf numFmtId="0" fontId="31" fillId="5" borderId="1" xfId="0" applyFont="1" applyFill="1" applyBorder="1"/>
    <xf numFmtId="0" fontId="31" fillId="5" borderId="1" xfId="0" applyFont="1" applyFill="1" applyBorder="1" applyAlignment="1">
      <alignment horizontal="center"/>
    </xf>
    <xf numFmtId="9" fontId="22" fillId="0" borderId="1" xfId="1" applyFont="1" applyBorder="1"/>
    <xf numFmtId="0" fontId="24" fillId="0" borderId="0" xfId="0" applyFont="1"/>
    <xf numFmtId="10" fontId="24" fillId="0" borderId="0" xfId="1" applyNumberFormat="1" applyFont="1"/>
    <xf numFmtId="3" fontId="22" fillId="0" borderId="1" xfId="0" applyNumberFormat="1" applyFont="1" applyBorder="1"/>
    <xf numFmtId="0" fontId="22" fillId="0" borderId="1" xfId="0" applyFont="1" applyBorder="1" applyAlignment="1">
      <alignment wrapText="1"/>
    </xf>
    <xf numFmtId="170" fontId="22" fillId="0" borderId="0" xfId="2" applyNumberFormat="1" applyFont="1"/>
    <xf numFmtId="164" fontId="22" fillId="0" borderId="0" xfId="0" applyNumberFormat="1" applyFont="1"/>
    <xf numFmtId="170" fontId="22" fillId="0" borderId="0" xfId="0" applyNumberFormat="1" applyFont="1"/>
    <xf numFmtId="0" fontId="24" fillId="0" borderId="1" xfId="0" applyFont="1" applyBorder="1" applyAlignment="1">
      <alignment horizontal="center" vertical="center"/>
    </xf>
    <xf numFmtId="0" fontId="29" fillId="0" borderId="1" xfId="0" applyFont="1" applyBorder="1" applyAlignment="1">
      <alignment horizontal="center"/>
    </xf>
    <xf numFmtId="0" fontId="28" fillId="0" borderId="1" xfId="0" applyFont="1" applyFill="1" applyBorder="1" applyAlignment="1">
      <alignment horizontal="center"/>
    </xf>
    <xf numFmtId="170" fontId="29" fillId="0" borderId="1" xfId="2" applyNumberFormat="1" applyFont="1" applyBorder="1" applyAlignment="1">
      <alignment horizontal="center"/>
    </xf>
    <xf numFmtId="170" fontId="22" fillId="0" borderId="1" xfId="2" applyNumberFormat="1" applyFont="1" applyBorder="1" applyAlignment="1"/>
    <xf numFmtId="0" fontId="22" fillId="0" borderId="1" xfId="0" applyFont="1" applyBorder="1" applyAlignment="1">
      <alignment horizontal="center" vertical="center"/>
    </xf>
    <xf numFmtId="170" fontId="24" fillId="0" borderId="1" xfId="2" applyNumberFormat="1" applyFont="1" applyBorder="1" applyAlignment="1"/>
    <xf numFmtId="0" fontId="24" fillId="0" borderId="0" xfId="0" applyFont="1" applyFill="1"/>
    <xf numFmtId="2" fontId="24" fillId="0" borderId="0" xfId="0" applyNumberFormat="1" applyFont="1"/>
    <xf numFmtId="170" fontId="24" fillId="0" borderId="1" xfId="0" applyNumberFormat="1" applyFont="1" applyBorder="1"/>
    <xf numFmtId="2" fontId="24" fillId="0" borderId="1" xfId="0" applyNumberFormat="1" applyFont="1" applyBorder="1"/>
    <xf numFmtId="2" fontId="22" fillId="0" borderId="0" xfId="0" applyNumberFormat="1" applyFont="1"/>
    <xf numFmtId="0" fontId="29" fillId="0" borderId="1" xfId="0" applyFont="1" applyFill="1" applyBorder="1"/>
    <xf numFmtId="170" fontId="29" fillId="0" borderId="1" xfId="2" applyNumberFormat="1" applyFont="1" applyFill="1" applyBorder="1"/>
    <xf numFmtId="9" fontId="24" fillId="7" borderId="0" xfId="0" applyNumberFormat="1" applyFont="1" applyFill="1"/>
    <xf numFmtId="170" fontId="25" fillId="0" borderId="1" xfId="2" applyNumberFormat="1" applyFont="1" applyFill="1" applyBorder="1"/>
    <xf numFmtId="0" fontId="29" fillId="0" borderId="0" xfId="0" applyFont="1" applyFill="1"/>
    <xf numFmtId="172" fontId="29" fillId="0" borderId="0" xfId="10" applyNumberFormat="1" applyFont="1" applyFill="1"/>
    <xf numFmtId="172" fontId="29" fillId="0" borderId="1" xfId="10" applyNumberFormat="1" applyFont="1" applyFill="1" applyBorder="1"/>
    <xf numFmtId="175" fontId="29" fillId="0" borderId="1" xfId="10" applyNumberFormat="1" applyFont="1" applyFill="1" applyBorder="1"/>
    <xf numFmtId="43" fontId="29" fillId="0" borderId="1" xfId="10" applyFont="1" applyFill="1" applyBorder="1"/>
    <xf numFmtId="0" fontId="24" fillId="0" borderId="0" xfId="0" applyFont="1" applyBorder="1" applyAlignment="1"/>
    <xf numFmtId="0" fontId="23" fillId="2" borderId="1" xfId="0" applyFont="1" applyFill="1" applyBorder="1" applyAlignment="1">
      <alignment wrapText="1"/>
    </xf>
    <xf numFmtId="0" fontId="25" fillId="0" borderId="1" xfId="0" applyFont="1" applyFill="1" applyBorder="1" applyAlignment="1">
      <alignment wrapText="1"/>
    </xf>
    <xf numFmtId="170" fontId="29" fillId="0" borderId="1" xfId="3" applyNumberFormat="1" applyFont="1" applyFill="1" applyBorder="1" applyAlignment="1">
      <alignment wrapText="1"/>
    </xf>
    <xf numFmtId="0" fontId="29" fillId="0" borderId="1" xfId="0" applyFont="1" applyFill="1" applyBorder="1" applyAlignment="1">
      <alignment horizontal="left" wrapText="1"/>
    </xf>
    <xf numFmtId="170" fontId="25" fillId="0" borderId="1" xfId="3" applyNumberFormat="1" applyFont="1" applyFill="1" applyBorder="1" applyAlignment="1">
      <alignment wrapText="1"/>
    </xf>
    <xf numFmtId="0" fontId="29" fillId="0" borderId="1" xfId="0" applyFont="1" applyFill="1" applyBorder="1" applyAlignment="1">
      <alignment wrapText="1"/>
    </xf>
    <xf numFmtId="0" fontId="29" fillId="0" borderId="1" xfId="0" applyFont="1" applyFill="1" applyBorder="1" applyAlignment="1">
      <alignment horizontal="right" wrapText="1"/>
    </xf>
    <xf numFmtId="168" fontId="29" fillId="0" borderId="1" xfId="3" applyNumberFormat="1" applyFont="1" applyFill="1" applyBorder="1" applyAlignment="1">
      <alignment wrapText="1"/>
    </xf>
    <xf numFmtId="0" fontId="29" fillId="0" borderId="1" xfId="0" applyFont="1" applyFill="1" applyBorder="1" applyAlignment="1">
      <alignment vertical="center" wrapText="1"/>
    </xf>
    <xf numFmtId="170" fontId="29" fillId="0" borderId="1" xfId="2" applyNumberFormat="1" applyFont="1" applyFill="1" applyBorder="1" applyAlignment="1">
      <alignment wrapText="1"/>
    </xf>
    <xf numFmtId="0" fontId="25" fillId="0" borderId="1" xfId="0" applyFont="1" applyFill="1" applyBorder="1" applyAlignment="1">
      <alignment horizontal="right" wrapText="1"/>
    </xf>
    <xf numFmtId="170" fontId="29" fillId="4" borderId="1" xfId="3" applyNumberFormat="1" applyFont="1" applyFill="1" applyBorder="1" applyAlignment="1">
      <alignment wrapText="1"/>
    </xf>
    <xf numFmtId="170" fontId="25" fillId="0" borderId="1" xfId="0" applyNumberFormat="1" applyFont="1" applyFill="1" applyBorder="1" applyAlignment="1">
      <alignment wrapText="1"/>
    </xf>
    <xf numFmtId="170" fontId="29" fillId="0" borderId="1" xfId="0" applyNumberFormat="1" applyFont="1" applyFill="1" applyBorder="1" applyAlignment="1">
      <alignment wrapText="1"/>
    </xf>
    <xf numFmtId="0" fontId="25" fillId="0" borderId="1" xfId="0" applyFont="1" applyFill="1" applyBorder="1" applyAlignment="1">
      <alignment horizontal="left" wrapText="1"/>
    </xf>
    <xf numFmtId="0" fontId="28" fillId="0" borderId="0" xfId="0" applyFont="1" applyBorder="1" applyAlignment="1">
      <alignment vertical="center"/>
    </xf>
    <xf numFmtId="0" fontId="23" fillId="2" borderId="13" xfId="0" applyFont="1" applyFill="1" applyBorder="1" applyAlignment="1">
      <alignment vertical="center"/>
    </xf>
    <xf numFmtId="0" fontId="23" fillId="2" borderId="9" xfId="0" applyFont="1" applyFill="1" applyBorder="1" applyAlignment="1">
      <alignment horizontal="center"/>
    </xf>
    <xf numFmtId="0" fontId="28" fillId="0" borderId="3" xfId="0" applyFont="1" applyFill="1" applyBorder="1" applyAlignment="1">
      <alignment vertical="center"/>
    </xf>
    <xf numFmtId="37" fontId="19" fillId="0" borderId="1" xfId="3" applyNumberFormat="1" applyFont="1" applyFill="1" applyBorder="1" applyAlignment="1">
      <alignment vertical="center"/>
    </xf>
    <xf numFmtId="3" fontId="32" fillId="0" borderId="1" xfId="9" applyNumberFormat="1" applyFont="1" applyFill="1" applyBorder="1" applyAlignment="1">
      <alignment horizontal="right" vertical="center"/>
    </xf>
    <xf numFmtId="0" fontId="28" fillId="0" borderId="0" xfId="0" applyFont="1" applyFill="1" applyBorder="1" applyAlignment="1">
      <alignment vertical="center"/>
    </xf>
    <xf numFmtId="0" fontId="33" fillId="0" borderId="3" xfId="0" applyFont="1" applyFill="1" applyBorder="1" applyAlignment="1">
      <alignment vertical="center"/>
    </xf>
    <xf numFmtId="4" fontId="28" fillId="0" borderId="1" xfId="3" applyNumberFormat="1" applyFont="1" applyFill="1" applyBorder="1" applyAlignment="1">
      <alignment vertical="center"/>
    </xf>
    <xf numFmtId="0" fontId="19" fillId="0" borderId="3" xfId="0" applyFont="1" applyFill="1" applyBorder="1" applyAlignment="1">
      <alignment horizontal="left" vertical="center"/>
    </xf>
    <xf numFmtId="4" fontId="34" fillId="0" borderId="1" xfId="3" applyNumberFormat="1" applyFont="1" applyFill="1" applyBorder="1" applyAlignment="1">
      <alignment vertical="center"/>
    </xf>
    <xf numFmtId="0" fontId="19" fillId="0" borderId="3" xfId="0" applyFont="1" applyFill="1" applyBorder="1" applyAlignment="1">
      <alignment horizontal="left" vertical="center" indent="1"/>
    </xf>
    <xf numFmtId="3" fontId="19" fillId="0" borderId="1" xfId="3" applyNumberFormat="1" applyFont="1" applyFill="1" applyBorder="1" applyAlignment="1">
      <alignment vertical="center"/>
    </xf>
    <xf numFmtId="3" fontId="28" fillId="0" borderId="0" xfId="0" applyNumberFormat="1" applyFont="1" applyBorder="1" applyAlignment="1">
      <alignment vertical="center"/>
    </xf>
    <xf numFmtId="0" fontId="28" fillId="0" borderId="3"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3" xfId="0" applyFont="1" applyFill="1" applyBorder="1" applyAlignment="1">
      <alignment horizontal="left" vertical="center"/>
    </xf>
    <xf numFmtId="0" fontId="19" fillId="0" borderId="0" xfId="0" applyFont="1" applyBorder="1" applyAlignment="1">
      <alignment vertical="center"/>
    </xf>
    <xf numFmtId="0" fontId="19" fillId="0" borderId="3" xfId="0" applyFont="1" applyFill="1" applyBorder="1" applyAlignment="1">
      <alignment vertical="center"/>
    </xf>
    <xf numFmtId="3" fontId="1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4" fillId="0" borderId="1" xfId="3" applyNumberFormat="1" applyFont="1" applyFill="1" applyBorder="1" applyAlignment="1">
      <alignment vertical="center"/>
    </xf>
    <xf numFmtId="3" fontId="32"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25" fillId="0" borderId="3" xfId="0" applyFont="1" applyFill="1" applyBorder="1" applyAlignment="1">
      <alignment vertical="center"/>
    </xf>
    <xf numFmtId="3" fontId="25"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5" fillId="0" borderId="3" xfId="0" applyFont="1" applyFill="1" applyBorder="1" applyAlignment="1">
      <alignment vertical="center"/>
    </xf>
    <xf numFmtId="4" fontId="36" fillId="0" borderId="1" xfId="0" applyNumberFormat="1" applyFont="1" applyFill="1" applyBorder="1" applyAlignment="1">
      <alignment vertical="center"/>
    </xf>
    <xf numFmtId="0" fontId="37" fillId="0" borderId="3" xfId="0" applyFont="1" applyFill="1" applyBorder="1" applyAlignment="1">
      <alignment vertical="center"/>
    </xf>
    <xf numFmtId="4" fontId="37" fillId="0" borderId="1" xfId="9" applyNumberFormat="1" applyFont="1" applyFill="1" applyBorder="1" applyAlignment="1">
      <alignment vertical="center"/>
    </xf>
    <xf numFmtId="0" fontId="37" fillId="0" borderId="4" xfId="0" applyFont="1" applyFill="1" applyBorder="1" applyAlignment="1">
      <alignment vertical="center"/>
    </xf>
    <xf numFmtId="4" fontId="37" fillId="0" borderId="5" xfId="0" applyNumberFormat="1" applyFont="1" applyFill="1" applyBorder="1" applyAlignment="1">
      <alignment vertical="center"/>
    </xf>
    <xf numFmtId="4" fontId="28" fillId="0" borderId="0" xfId="0" applyNumberFormat="1" applyFont="1" applyBorder="1" applyAlignment="1">
      <alignment vertical="center"/>
    </xf>
    <xf numFmtId="0" fontId="24" fillId="0" borderId="0" xfId="0" applyFont="1" applyBorder="1"/>
    <xf numFmtId="170" fontId="22" fillId="0" borderId="0" xfId="2" applyNumberFormat="1" applyFont="1" applyBorder="1"/>
    <xf numFmtId="0" fontId="28" fillId="6" borderId="0" xfId="0" applyFont="1" applyFill="1"/>
    <xf numFmtId="0" fontId="19" fillId="6" borderId="1" xfId="0" applyFont="1" applyFill="1" applyBorder="1"/>
    <xf numFmtId="0" fontId="19" fillId="5" borderId="1" xfId="0" applyFont="1" applyFill="1" applyBorder="1"/>
    <xf numFmtId="0" fontId="28" fillId="6" borderId="1" xfId="0" applyFont="1" applyFill="1" applyBorder="1"/>
    <xf numFmtId="2" fontId="28" fillId="6" borderId="1" xfId="0" applyNumberFormat="1" applyFont="1" applyFill="1" applyBorder="1"/>
    <xf numFmtId="176" fontId="28" fillId="6" borderId="1" xfId="0" applyNumberFormat="1" applyFont="1" applyFill="1" applyBorder="1"/>
    <xf numFmtId="2" fontId="19" fillId="6" borderId="1" xfId="0" applyNumberFormat="1" applyFont="1" applyFill="1" applyBorder="1"/>
    <xf numFmtId="0" fontId="22" fillId="0" borderId="0" xfId="0" applyFont="1" applyAlignment="1">
      <alignment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6" borderId="1" xfId="0" applyFont="1" applyFill="1" applyBorder="1" applyAlignment="1">
      <alignment horizontal="center" vertical="center" wrapText="1"/>
    </xf>
    <xf numFmtId="170" fontId="5" fillId="0" borderId="1" xfId="2" applyNumberFormat="1" applyFont="1" applyFill="1" applyBorder="1" applyAlignment="1">
      <alignment horizontal="right" vertical="center" wrapText="1"/>
    </xf>
    <xf numFmtId="0" fontId="6" fillId="6" borderId="11" xfId="0" applyFont="1" applyFill="1" applyBorder="1" applyAlignment="1">
      <alignment horizontal="center" vertical="center" wrapText="1"/>
    </xf>
    <xf numFmtId="170" fontId="6" fillId="0" borderId="1" xfId="2" applyNumberFormat="1" applyFont="1" applyFill="1" applyBorder="1" applyAlignment="1">
      <alignment horizontal="right" vertical="center" wrapText="1"/>
    </xf>
    <xf numFmtId="0" fontId="5" fillId="0" borderId="1" xfId="0" applyFont="1" applyBorder="1" applyAlignment="1">
      <alignment horizontal="right" vertical="center" wrapText="1"/>
    </xf>
    <xf numFmtId="9" fontId="6" fillId="7" borderId="1" xfId="0" applyNumberFormat="1" applyFont="1" applyFill="1" applyBorder="1" applyAlignment="1">
      <alignment horizontal="center" vertical="center" wrapText="1"/>
    </xf>
    <xf numFmtId="0" fontId="22" fillId="0" borderId="0" xfId="0" applyFont="1" applyBorder="1" applyAlignment="1">
      <alignment horizontal="center"/>
    </xf>
    <xf numFmtId="9" fontId="22" fillId="7" borderId="0" xfId="0" applyNumberFormat="1" applyFont="1" applyFill="1"/>
    <xf numFmtId="0" fontId="22" fillId="7" borderId="0" xfId="0" applyNumberFormat="1" applyFont="1" applyFill="1"/>
    <xf numFmtId="167" fontId="22" fillId="0" borderId="0" xfId="0" applyNumberFormat="1" applyFont="1"/>
    <xf numFmtId="174" fontId="22" fillId="0" borderId="0" xfId="0" applyNumberFormat="1" applyFont="1"/>
    <xf numFmtId="0" fontId="23" fillId="2" borderId="1" xfId="0" applyFont="1" applyFill="1" applyBorder="1" applyAlignment="1">
      <alignment horizontal="right"/>
    </xf>
    <xf numFmtId="2" fontId="23" fillId="2" borderId="1" xfId="0" applyNumberFormat="1" applyFont="1" applyFill="1" applyBorder="1" applyAlignment="1">
      <alignment horizontal="right"/>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6" fontId="28" fillId="0" borderId="1" xfId="3" applyFont="1" applyFill="1" applyBorder="1" applyAlignment="1">
      <alignment horizontal="right" vertical="center" wrapText="1"/>
    </xf>
    <xf numFmtId="0" fontId="22" fillId="0" borderId="1" xfId="0" applyFont="1" applyFill="1" applyBorder="1" applyAlignment="1">
      <alignment vertical="center" wrapText="1"/>
    </xf>
    <xf numFmtId="164" fontId="28" fillId="0" borderId="1" xfId="2" applyFont="1" applyFill="1" applyBorder="1" applyAlignment="1">
      <alignment horizontal="left" vertical="center" wrapText="1"/>
    </xf>
    <xf numFmtId="164" fontId="28" fillId="0" borderId="1" xfId="2" applyFont="1" applyFill="1" applyBorder="1" applyAlignment="1">
      <alignment horizontal="right" vertical="center" wrapText="1"/>
    </xf>
    <xf numFmtId="170" fontId="28" fillId="0" borderId="1" xfId="2" applyNumberFormat="1" applyFont="1" applyFill="1" applyBorder="1" applyAlignment="1">
      <alignment horizontal="righ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68" fontId="24" fillId="0" borderId="1" xfId="3" applyNumberFormat="1" applyFont="1" applyBorder="1" applyAlignment="1">
      <alignment horizontal="right" vertical="center" wrapText="1"/>
    </xf>
    <xf numFmtId="0" fontId="5" fillId="6" borderId="1" xfId="0" applyFont="1" applyFill="1" applyBorder="1" applyAlignment="1">
      <alignment horizontal="center" vertical="center" wrapText="1"/>
    </xf>
    <xf numFmtId="168" fontId="5" fillId="6" borderId="1" xfId="3" applyNumberFormat="1" applyFont="1" applyFill="1" applyBorder="1" applyAlignment="1">
      <alignment horizontal="right" vertical="center" wrapText="1"/>
    </xf>
    <xf numFmtId="0" fontId="6" fillId="6" borderId="1" xfId="0" applyFont="1" applyFill="1" applyBorder="1" applyAlignment="1">
      <alignment vertical="center" wrapText="1"/>
    </xf>
    <xf numFmtId="170" fontId="6" fillId="6" borderId="1" xfId="2" applyNumberFormat="1" applyFont="1" applyFill="1" applyBorder="1" applyAlignment="1">
      <alignment horizontal="right" vertical="center" wrapText="1"/>
    </xf>
    <xf numFmtId="168" fontId="6" fillId="6" borderId="1" xfId="3" applyNumberFormat="1" applyFont="1" applyFill="1" applyBorder="1" applyAlignment="1">
      <alignment horizontal="right" vertical="center" wrapText="1"/>
    </xf>
    <xf numFmtId="0" fontId="5" fillId="6" borderId="1" xfId="0" applyFont="1" applyFill="1" applyBorder="1" applyAlignment="1">
      <alignment vertical="center" wrapText="1"/>
    </xf>
    <xf numFmtId="0" fontId="6"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8" fontId="6" fillId="0" borderId="1" xfId="3" applyNumberFormat="1" applyFont="1" applyFill="1" applyBorder="1" applyAlignment="1">
      <alignment horizontal="right" vertical="center" wrapText="1"/>
    </xf>
    <xf numFmtId="166" fontId="22" fillId="0" borderId="0" xfId="0" applyNumberFormat="1" applyFont="1"/>
    <xf numFmtId="166" fontId="22" fillId="0" borderId="0" xfId="3" applyFont="1"/>
    <xf numFmtId="0" fontId="5" fillId="0" borderId="1" xfId="0" applyFont="1" applyFill="1" applyBorder="1" applyAlignment="1">
      <alignment horizontal="right" vertical="center" wrapText="1"/>
    </xf>
    <xf numFmtId="0" fontId="38" fillId="0" borderId="0" xfId="0" applyFont="1"/>
    <xf numFmtId="168" fontId="22" fillId="0" borderId="0" xfId="0" applyNumberFormat="1" applyFont="1"/>
    <xf numFmtId="0" fontId="22" fillId="0" borderId="0" xfId="0" applyFont="1" applyAlignment="1">
      <alignment vertical="center" wrapText="1"/>
    </xf>
    <xf numFmtId="0" fontId="22" fillId="6" borderId="11" xfId="0" applyFont="1" applyFill="1" applyBorder="1" applyAlignment="1">
      <alignment vertical="center" wrapText="1"/>
    </xf>
    <xf numFmtId="0" fontId="22" fillId="7" borderId="11" xfId="0" applyFont="1" applyFill="1" applyBorder="1" applyAlignment="1">
      <alignment vertical="center" wrapText="1"/>
    </xf>
    <xf numFmtId="0" fontId="22" fillId="0" borderId="0" xfId="0" applyFont="1" applyFill="1" applyAlignment="1">
      <alignment vertical="center" wrapText="1"/>
    </xf>
    <xf numFmtId="0" fontId="24" fillId="0" borderId="1" xfId="0" applyFont="1" applyBorder="1" applyAlignment="1">
      <alignment vertical="center" wrapText="1"/>
    </xf>
    <xf numFmtId="0" fontId="24" fillId="11" borderId="1" xfId="0" applyFont="1" applyFill="1" applyBorder="1" applyAlignment="1">
      <alignment vertical="center" wrapText="1"/>
    </xf>
    <xf numFmtId="0" fontId="40" fillId="0" borderId="1" xfId="0" applyFont="1" applyBorder="1" applyAlignment="1">
      <alignment vertical="center" wrapText="1"/>
    </xf>
    <xf numFmtId="0" fontId="22" fillId="0" borderId="1" xfId="0" applyFont="1" applyBorder="1" applyAlignment="1">
      <alignment vertical="center" wrapText="1"/>
    </xf>
    <xf numFmtId="0" fontId="22" fillId="0" borderId="2" xfId="0" applyFont="1" applyFill="1" applyBorder="1" applyAlignment="1">
      <alignment vertical="center" wrapText="1"/>
    </xf>
    <xf numFmtId="0" fontId="24" fillId="11" borderId="2" xfId="0" applyFont="1" applyFill="1" applyBorder="1" applyAlignment="1">
      <alignment vertical="center" wrapText="1"/>
    </xf>
    <xf numFmtId="0" fontId="22" fillId="0" borderId="1" xfId="0" applyFont="1" applyBorder="1" applyAlignment="1">
      <alignment horizontal="center" vertical="center" wrapText="1"/>
    </xf>
    <xf numFmtId="0" fontId="29" fillId="0" borderId="0" xfId="0" applyFont="1"/>
    <xf numFmtId="0" fontId="41" fillId="5" borderId="6" xfId="0" applyFont="1" applyFill="1" applyBorder="1" applyAlignment="1">
      <alignment horizontal="center"/>
    </xf>
    <xf numFmtId="0" fontId="43" fillId="0" borderId="0" xfId="0" applyFont="1"/>
    <xf numFmtId="0" fontId="16" fillId="0" borderId="0" xfId="0" applyFont="1" applyAlignment="1"/>
    <xf numFmtId="0" fontId="4" fillId="2" borderId="17" xfId="0" applyFont="1" applyFill="1" applyBorder="1" applyAlignment="1">
      <alignment horizontal="center" vertical="center" wrapText="1"/>
    </xf>
    <xf numFmtId="170" fontId="5" fillId="0" borderId="1" xfId="2" applyNumberFormat="1" applyFont="1" applyBorder="1" applyAlignment="1">
      <alignment vertical="center" wrapText="1"/>
    </xf>
    <xf numFmtId="9" fontId="22" fillId="0" borderId="1" xfId="0" applyNumberFormat="1" applyFont="1" applyFill="1" applyBorder="1"/>
    <xf numFmtId="170" fontId="6" fillId="0" borderId="1" xfId="2" applyNumberFormat="1" applyFont="1" applyBorder="1" applyAlignment="1">
      <alignment horizontal="center" vertical="center" wrapText="1"/>
    </xf>
    <xf numFmtId="9" fontId="5" fillId="0" borderId="1" xfId="3" applyNumberFormat="1" applyFont="1" applyFill="1" applyBorder="1" applyAlignment="1">
      <alignment horizontal="right" vertical="center" wrapText="1"/>
    </xf>
    <xf numFmtId="9" fontId="5" fillId="7" borderId="1" xfId="3" applyNumberFormat="1" applyFont="1" applyFill="1" applyBorder="1" applyAlignment="1">
      <alignment horizontal="right" vertical="center" wrapText="1"/>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10" fontId="5"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44" fillId="0" borderId="1" xfId="0" applyFont="1" applyBorder="1" applyAlignment="1">
      <alignment vertical="center" wrapText="1"/>
    </xf>
    <xf numFmtId="0" fontId="44" fillId="0" borderId="1" xfId="0" applyFont="1" applyBorder="1" applyAlignment="1">
      <alignment horizontal="right" vertical="center" wrapText="1"/>
    </xf>
    <xf numFmtId="0" fontId="44" fillId="0" borderId="1" xfId="0" applyFont="1" applyBorder="1" applyAlignment="1">
      <alignment horizontal="center" vertical="center" wrapText="1"/>
    </xf>
    <xf numFmtId="168" fontId="44" fillId="0" borderId="1" xfId="3" applyNumberFormat="1" applyFont="1" applyFill="1" applyBorder="1" applyAlignment="1" applyProtection="1">
      <alignment horizontal="right" vertical="center" wrapText="1"/>
    </xf>
    <xf numFmtId="172" fontId="44" fillId="0" borderId="1" xfId="2" applyNumberFormat="1" applyFont="1" applyFill="1" applyBorder="1" applyAlignment="1">
      <alignment horizontal="right" vertical="center" wrapText="1"/>
    </xf>
    <xf numFmtId="9" fontId="44" fillId="0" borderId="1" xfId="0" applyNumberFormat="1" applyFont="1" applyBorder="1" applyAlignment="1">
      <alignment horizontal="center" vertical="center" wrapText="1"/>
    </xf>
    <xf numFmtId="172" fontId="45" fillId="0" borderId="1" xfId="2" applyNumberFormat="1" applyFont="1" applyFill="1" applyBorder="1" applyAlignment="1">
      <alignment horizontal="right" vertical="center" wrapText="1"/>
    </xf>
    <xf numFmtId="0" fontId="24" fillId="0" borderId="0" xfId="0" applyFont="1" applyAlignment="1">
      <alignment horizontal="left" vertical="center" wrapText="1"/>
    </xf>
    <xf numFmtId="0" fontId="24" fillId="0" borderId="8" xfId="0" applyFont="1" applyBorder="1" applyAlignment="1">
      <alignment horizontal="center" vertical="center" wrapText="1"/>
    </xf>
    <xf numFmtId="0" fontId="38" fillId="8"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4" fillId="0" borderId="1" xfId="0" applyFont="1" applyBorder="1" applyAlignment="1">
      <alignment horizontal="left" vertical="center" wrapText="1"/>
    </xf>
    <xf numFmtId="0" fontId="22" fillId="0"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5" xfId="0" applyFont="1" applyBorder="1" applyAlignment="1">
      <alignment horizontal="left" vertical="center" wrapText="1"/>
    </xf>
    <xf numFmtId="0" fontId="22" fillId="0" borderId="2"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4" fillId="9" borderId="1" xfId="0" applyFont="1" applyFill="1" applyBorder="1" applyAlignment="1">
      <alignment horizontal="left" vertical="center" wrapText="1"/>
    </xf>
    <xf numFmtId="0" fontId="24" fillId="0" borderId="1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1" xfId="0" applyFont="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4" fillId="0" borderId="0" xfId="0" applyFont="1" applyBorder="1" applyAlignment="1">
      <alignment horizontal="center"/>
    </xf>
    <xf numFmtId="0" fontId="6" fillId="0" borderId="1" xfId="0" applyFont="1" applyBorder="1" applyAlignment="1">
      <alignment horizontal="center" vertical="center" wrapText="1"/>
    </xf>
    <xf numFmtId="0" fontId="24" fillId="0" borderId="0" xfId="0" applyFont="1" applyAlignment="1">
      <alignment horizontal="center"/>
    </xf>
    <xf numFmtId="0" fontId="19" fillId="0" borderId="0" xfId="0" applyFont="1" applyAlignment="1">
      <alignment horizontal="center" wrapText="1"/>
    </xf>
    <xf numFmtId="0" fontId="24" fillId="0" borderId="1" xfId="0" applyFont="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0" xfId="0" applyFont="1" applyAlignment="1">
      <alignment horizontal="center" wrapText="1"/>
    </xf>
    <xf numFmtId="0" fontId="6" fillId="6" borderId="1" xfId="0" applyFont="1" applyFill="1" applyBorder="1" applyAlignment="1">
      <alignment horizontal="center" vertical="center" wrapText="1"/>
    </xf>
    <xf numFmtId="0" fontId="24" fillId="7" borderId="0" xfId="0" applyFont="1" applyFill="1" applyAlignment="1">
      <alignment horizontal="center"/>
    </xf>
    <xf numFmtId="0" fontId="19" fillId="0" borderId="0" xfId="6" applyFont="1" applyFill="1" applyBorder="1" applyAlignment="1">
      <alignment horizontal="center"/>
    </xf>
    <xf numFmtId="0" fontId="19" fillId="0" borderId="0" xfId="0" applyFont="1" applyAlignment="1">
      <alignment horizontal="center" vertical="center" wrapText="1"/>
    </xf>
    <xf numFmtId="0" fontId="24" fillId="0" borderId="8" xfId="0" applyFont="1" applyBorder="1" applyAlignment="1">
      <alignment horizontal="center"/>
    </xf>
    <xf numFmtId="0" fontId="24" fillId="0" borderId="14" xfId="0" applyFont="1" applyBorder="1" applyAlignment="1">
      <alignment horizontal="center"/>
    </xf>
    <xf numFmtId="0" fontId="24" fillId="0" borderId="0" xfId="0" applyFont="1" applyAlignment="1">
      <alignment horizontal="center" wrapText="1"/>
    </xf>
    <xf numFmtId="0" fontId="28" fillId="0" borderId="0" xfId="0" applyFont="1" applyAlignment="1">
      <alignment horizontal="center" wrapText="1"/>
    </xf>
    <xf numFmtId="0" fontId="4" fillId="2"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6" borderId="8" xfId="0" applyFont="1" applyFill="1" applyBorder="1" applyAlignment="1">
      <alignment horizontal="center"/>
    </xf>
    <xf numFmtId="0" fontId="19" fillId="6" borderId="0" xfId="0" applyFont="1" applyFill="1" applyAlignment="1">
      <alignment horizontal="center"/>
    </xf>
    <xf numFmtId="0" fontId="14" fillId="0" borderId="0" xfId="0" applyFont="1" applyAlignment="1">
      <alignment horizontal="center" wrapText="1"/>
    </xf>
    <xf numFmtId="0" fontId="24" fillId="0" borderId="12" xfId="0" applyFont="1" applyBorder="1" applyAlignment="1">
      <alignment horizontal="center"/>
    </xf>
    <xf numFmtId="0" fontId="15" fillId="0" borderId="0" xfId="0" applyFont="1" applyAlignment="1">
      <alignment horizontal="center" wrapText="1"/>
    </xf>
    <xf numFmtId="0" fontId="42" fillId="0" borderId="0" xfId="0" applyFont="1" applyAlignment="1">
      <alignment horizontal="center" wrapText="1"/>
    </xf>
    <xf numFmtId="0" fontId="25" fillId="0" borderId="1" xfId="0" applyFont="1" applyFill="1" applyBorder="1" applyAlignment="1">
      <alignment horizontal="center" wrapText="1"/>
    </xf>
    <xf numFmtId="0" fontId="6" fillId="0" borderId="0" xfId="0" applyFont="1" applyAlignment="1">
      <alignment horizontal="center" wrapText="1"/>
    </xf>
    <xf numFmtId="0" fontId="25" fillId="0" borderId="0" xfId="0" applyFont="1" applyAlignment="1">
      <alignment horizontal="center"/>
    </xf>
    <xf numFmtId="0" fontId="19" fillId="0" borderId="0" xfId="8" applyFont="1" applyAlignment="1" applyProtection="1">
      <alignment horizontal="center" wrapText="1"/>
    </xf>
    <xf numFmtId="0" fontId="18" fillId="0" borderId="0" xfId="0" applyFont="1" applyAlignment="1">
      <alignment horizontal="center" wrapText="1"/>
    </xf>
    <xf numFmtId="0" fontId="20" fillId="0" borderId="0" xfId="0" applyFont="1" applyAlignment="1">
      <alignment horizontal="center" wrapText="1"/>
    </xf>
    <xf numFmtId="0" fontId="25" fillId="0" borderId="7" xfId="0" applyFont="1" applyFill="1" applyBorder="1" applyAlignment="1">
      <alignment horizontal="center"/>
    </xf>
    <xf numFmtId="0" fontId="25" fillId="0" borderId="8" xfId="0" applyFont="1" applyFill="1" applyBorder="1" applyAlignment="1">
      <alignment horizontal="center"/>
    </xf>
    <xf numFmtId="3" fontId="29" fillId="0" borderId="1" xfId="0" applyNumberFormat="1" applyFont="1" applyBorder="1" applyAlignment="1">
      <alignment horizontal="center"/>
    </xf>
    <xf numFmtId="3" fontId="29" fillId="0" borderId="0" xfId="0" applyNumberFormat="1" applyFont="1" applyBorder="1" applyAlignment="1">
      <alignment horizontal="center"/>
    </xf>
    <xf numFmtId="0" fontId="16" fillId="0" borderId="0" xfId="0" applyFont="1" applyAlignment="1">
      <alignment horizontal="center"/>
    </xf>
    <xf numFmtId="2" fontId="22" fillId="0" borderId="1" xfId="2" applyNumberFormat="1" applyFont="1" applyBorder="1" applyAlignment="1">
      <alignment horizontal="center"/>
    </xf>
    <xf numFmtId="10" fontId="24" fillId="0" borderId="1" xfId="1" applyNumberFormat="1" applyFont="1" applyBorder="1" applyAlignment="1">
      <alignment horizontal="center"/>
    </xf>
    <xf numFmtId="0" fontId="31" fillId="5" borderId="15" xfId="0" applyFont="1" applyFill="1" applyBorder="1" applyAlignment="1">
      <alignment horizontal="left" vertical="center"/>
    </xf>
    <xf numFmtId="0" fontId="31" fillId="5" borderId="9" xfId="0" applyFont="1" applyFill="1" applyBorder="1" applyAlignment="1">
      <alignment horizontal="left" vertical="center"/>
    </xf>
    <xf numFmtId="0" fontId="22" fillId="0" borderId="0" xfId="0" applyFont="1" applyAlignment="1">
      <alignment horizontal="center"/>
    </xf>
    <xf numFmtId="0" fontId="24" fillId="0" borderId="10" xfId="0" applyFont="1" applyBorder="1" applyAlignment="1">
      <alignment horizontal="center"/>
    </xf>
    <xf numFmtId="0" fontId="24" fillId="0" borderId="16" xfId="0" applyFont="1" applyBorder="1" applyAlignment="1">
      <alignment horizontal="center"/>
    </xf>
    <xf numFmtId="0" fontId="24" fillId="0" borderId="11" xfId="0" applyFont="1" applyBorder="1" applyAlignment="1">
      <alignment horizontal="center"/>
    </xf>
    <xf numFmtId="0" fontId="23" fillId="5" borderId="15" xfId="0" applyFont="1" applyFill="1" applyBorder="1" applyAlignment="1">
      <alignment vertical="center"/>
    </xf>
    <xf numFmtId="0" fontId="23" fillId="5" borderId="9" xfId="0" applyFont="1" applyFill="1" applyBorder="1" applyAlignment="1">
      <alignment vertical="center"/>
    </xf>
    <xf numFmtId="0" fontId="19" fillId="0" borderId="10" xfId="0" applyFont="1" applyFill="1" applyBorder="1" applyAlignment="1">
      <alignment horizontal="center"/>
    </xf>
    <xf numFmtId="0" fontId="19" fillId="0" borderId="16" xfId="0" applyFont="1" applyFill="1" applyBorder="1" applyAlignment="1">
      <alignment horizontal="center"/>
    </xf>
    <xf numFmtId="0" fontId="19" fillId="0" borderId="11" xfId="0" applyFont="1" applyFill="1" applyBorder="1" applyAlignment="1">
      <alignment horizontal="center"/>
    </xf>
    <xf numFmtId="0" fontId="23" fillId="5" borderId="15" xfId="0" applyFont="1" applyFill="1" applyBorder="1" applyAlignment="1">
      <alignment horizontal="left" vertical="center"/>
    </xf>
    <xf numFmtId="0" fontId="23" fillId="5" borderId="9" xfId="0" applyFont="1" applyFill="1" applyBorder="1" applyAlignment="1">
      <alignment horizontal="left" vertical="center"/>
    </xf>
    <xf numFmtId="0" fontId="10" fillId="0" borderId="0" xfId="0" applyFont="1" applyAlignment="1">
      <alignment horizontal="center"/>
    </xf>
    <xf numFmtId="0" fontId="10" fillId="0" borderId="10" xfId="0" applyFont="1" applyBorder="1" applyAlignment="1">
      <alignment horizontal="center"/>
    </xf>
    <xf numFmtId="0" fontId="10" fillId="0" borderId="16" xfId="0" applyFont="1" applyBorder="1" applyAlignment="1">
      <alignment horizontal="center"/>
    </xf>
    <xf numFmtId="0" fontId="10" fillId="0" borderId="11" xfId="0" applyFont="1" applyBorder="1" applyAlignment="1">
      <alignment horizontal="center"/>
    </xf>
    <xf numFmtId="0" fontId="17" fillId="5" borderId="15" xfId="0" applyFont="1" applyFill="1" applyBorder="1" applyAlignment="1">
      <alignment vertical="center"/>
    </xf>
    <xf numFmtId="0" fontId="17" fillId="5" borderId="9" xfId="0" applyFont="1" applyFill="1" applyBorder="1" applyAlignment="1">
      <alignment vertical="center"/>
    </xf>
    <xf numFmtId="0" fontId="13" fillId="0" borderId="10" xfId="0" applyFont="1" applyFill="1" applyBorder="1" applyAlignment="1">
      <alignment horizontal="center"/>
    </xf>
    <xf numFmtId="0" fontId="13" fillId="0" borderId="16" xfId="0" applyFont="1" applyFill="1" applyBorder="1" applyAlignment="1">
      <alignment horizontal="center"/>
    </xf>
    <xf numFmtId="0" fontId="13" fillId="0" borderId="11" xfId="0" applyFont="1" applyFill="1" applyBorder="1" applyAlignment="1">
      <alignment horizontal="center"/>
    </xf>
    <xf numFmtId="0" fontId="17" fillId="5" borderId="15" xfId="0" applyFont="1" applyFill="1" applyBorder="1" applyAlignment="1">
      <alignment horizontal="left" vertical="center"/>
    </xf>
    <xf numFmtId="0" fontId="17" fillId="5" borderId="9" xfId="0" applyFont="1" applyFill="1" applyBorder="1" applyAlignment="1">
      <alignment horizontal="left" vertical="center"/>
    </xf>
    <xf numFmtId="0" fontId="21" fillId="5" borderId="15" xfId="0" applyFont="1" applyFill="1" applyBorder="1" applyAlignment="1">
      <alignment horizontal="left" vertical="center"/>
    </xf>
    <xf numFmtId="0" fontId="21" fillId="5" borderId="9" xfId="0" applyFont="1" applyFill="1" applyBorder="1" applyAlignment="1">
      <alignment horizontal="left" vertical="center"/>
    </xf>
    <xf numFmtId="0" fontId="10" fillId="0" borderId="8" xfId="0" applyFont="1" applyBorder="1" applyAlignment="1">
      <alignment horizont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24" fillId="0" borderId="0" xfId="0" applyFont="1" applyFill="1" applyBorder="1" applyAlignment="1">
      <alignment horizontal="center"/>
    </xf>
    <xf numFmtId="172" fontId="22" fillId="0" borderId="1" xfId="0" applyNumberFormat="1" applyFont="1" applyFill="1" applyBorder="1"/>
    <xf numFmtId="0" fontId="22" fillId="0" borderId="1" xfId="0" applyFont="1" applyBorder="1" applyAlignment="1">
      <alignment horizontal="center" vertical="center"/>
    </xf>
    <xf numFmtId="1" fontId="22" fillId="0" borderId="1" xfId="2" applyNumberFormat="1" applyFont="1" applyBorder="1" applyAlignment="1">
      <alignment horizontal="center"/>
    </xf>
    <xf numFmtId="170" fontId="23" fillId="5" borderId="1" xfId="2" applyNumberFormat="1" applyFont="1" applyFill="1" applyBorder="1"/>
    <xf numFmtId="170" fontId="23" fillId="5" borderId="1" xfId="2" applyNumberFormat="1"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workbookViewId="0">
      <selection sqref="A1:E1"/>
    </sheetView>
  </sheetViews>
  <sheetFormatPr defaultColWidth="9.1796875" defaultRowHeight="14.5" x14ac:dyDescent="0.35"/>
  <cols>
    <col min="1" max="1" width="12.81640625" style="364" customWidth="1"/>
    <col min="2" max="2" width="56" style="364" customWidth="1"/>
    <col min="3" max="3" width="26.26953125" style="364" customWidth="1"/>
    <col min="4" max="4" width="20.7265625" style="364" customWidth="1"/>
    <col min="5" max="5" width="29.453125" style="364" customWidth="1"/>
    <col min="6" max="16384" width="9.1796875" style="364"/>
  </cols>
  <sheetData>
    <row r="1" spans="1:5" ht="26.25" customHeight="1" x14ac:dyDescent="0.35">
      <c r="A1" s="402" t="s">
        <v>628</v>
      </c>
      <c r="B1" s="402"/>
      <c r="C1" s="402"/>
      <c r="D1" s="402"/>
      <c r="E1" s="402"/>
    </row>
    <row r="2" spans="1:5" ht="26.25" customHeight="1" x14ac:dyDescent="0.35">
      <c r="A2" s="403" t="s">
        <v>624</v>
      </c>
      <c r="B2" s="403"/>
      <c r="C2" s="403"/>
      <c r="D2" s="403"/>
      <c r="E2" s="403"/>
    </row>
    <row r="3" spans="1:5" ht="23.25" customHeight="1" x14ac:dyDescent="0.35">
      <c r="A3" s="404" t="s">
        <v>595</v>
      </c>
      <c r="B3" s="404"/>
      <c r="C3" s="404"/>
      <c r="D3" s="404"/>
      <c r="E3" s="404"/>
    </row>
    <row r="4" spans="1:5" ht="240.75" customHeight="1" x14ac:dyDescent="0.35">
      <c r="A4" s="405" t="s">
        <v>736</v>
      </c>
      <c r="B4" s="405"/>
      <c r="C4" s="405"/>
      <c r="D4" s="405"/>
      <c r="E4" s="405"/>
    </row>
    <row r="5" spans="1:5" ht="23.25" customHeight="1" x14ac:dyDescent="0.35">
      <c r="A5" s="404" t="s">
        <v>596</v>
      </c>
      <c r="B5" s="404"/>
      <c r="C5" s="404"/>
      <c r="D5" s="404"/>
      <c r="E5" s="404"/>
    </row>
    <row r="6" spans="1:5" ht="108" customHeight="1" x14ac:dyDescent="0.35">
      <c r="A6" s="412" t="s">
        <v>737</v>
      </c>
      <c r="B6" s="413"/>
      <c r="C6" s="413"/>
      <c r="D6" s="413"/>
      <c r="E6" s="414"/>
    </row>
    <row r="7" spans="1:5" ht="23.25" customHeight="1" x14ac:dyDescent="0.35">
      <c r="A7" s="415" t="s">
        <v>629</v>
      </c>
      <c r="B7" s="415"/>
      <c r="C7" s="415"/>
      <c r="D7" s="415"/>
      <c r="E7" s="415"/>
    </row>
    <row r="8" spans="1:5" ht="125.25" customHeight="1" x14ac:dyDescent="0.35">
      <c r="A8" s="405" t="s">
        <v>665</v>
      </c>
      <c r="B8" s="405"/>
      <c r="C8" s="405"/>
      <c r="D8" s="405"/>
      <c r="E8" s="405"/>
    </row>
    <row r="9" spans="1:5" x14ac:dyDescent="0.35">
      <c r="A9" s="404" t="s">
        <v>621</v>
      </c>
      <c r="B9" s="404"/>
      <c r="C9" s="404"/>
      <c r="D9" s="404"/>
      <c r="E9" s="404"/>
    </row>
    <row r="10" spans="1:5" x14ac:dyDescent="0.35">
      <c r="A10" s="364" t="s">
        <v>597</v>
      </c>
      <c r="B10" s="364" t="s">
        <v>147</v>
      </c>
    </row>
    <row r="11" spans="1:5" ht="20.25" customHeight="1" x14ac:dyDescent="0.35">
      <c r="A11" s="365"/>
      <c r="B11" s="416" t="s">
        <v>399</v>
      </c>
      <c r="C11" s="417"/>
      <c r="D11" s="417"/>
      <c r="E11" s="418"/>
    </row>
    <row r="12" spans="1:5" x14ac:dyDescent="0.35">
      <c r="A12" s="366"/>
      <c r="B12" s="406" t="s">
        <v>400</v>
      </c>
      <c r="C12" s="406"/>
      <c r="D12" s="406"/>
      <c r="E12" s="406"/>
    </row>
    <row r="13" spans="1:5" s="367" customFormat="1" x14ac:dyDescent="0.35">
      <c r="A13" s="407"/>
      <c r="B13" s="407"/>
      <c r="C13" s="407"/>
      <c r="D13" s="407"/>
      <c r="E13" s="408"/>
    </row>
    <row r="14" spans="1:5" x14ac:dyDescent="0.35">
      <c r="A14" s="404" t="s">
        <v>622</v>
      </c>
      <c r="B14" s="404"/>
      <c r="C14" s="404"/>
      <c r="D14" s="404"/>
      <c r="E14" s="404"/>
    </row>
    <row r="15" spans="1:5" x14ac:dyDescent="0.35">
      <c r="A15" s="368" t="s">
        <v>593</v>
      </c>
      <c r="B15" s="368" t="s">
        <v>630</v>
      </c>
      <c r="C15" s="368" t="s">
        <v>452</v>
      </c>
      <c r="D15" s="368" t="s">
        <v>601</v>
      </c>
      <c r="E15" s="368" t="s">
        <v>594</v>
      </c>
    </row>
    <row r="16" spans="1:5" x14ac:dyDescent="0.35">
      <c r="A16" s="369" t="s">
        <v>169</v>
      </c>
      <c r="B16" s="369" t="s">
        <v>631</v>
      </c>
      <c r="C16" s="369"/>
      <c r="D16" s="369"/>
      <c r="E16" s="369"/>
    </row>
    <row r="17" spans="1:5" ht="43.5" x14ac:dyDescent="0.35">
      <c r="A17" s="370" t="s">
        <v>611</v>
      </c>
      <c r="B17" s="371" t="s">
        <v>618</v>
      </c>
      <c r="C17" s="371" t="s">
        <v>662</v>
      </c>
      <c r="D17" s="371" t="s">
        <v>632</v>
      </c>
      <c r="E17" s="371"/>
    </row>
    <row r="18" spans="1:5" ht="58" x14ac:dyDescent="0.35">
      <c r="A18" s="370" t="s">
        <v>612</v>
      </c>
      <c r="B18" s="371" t="s">
        <v>598</v>
      </c>
      <c r="C18" s="371" t="s">
        <v>663</v>
      </c>
      <c r="D18" s="371" t="s">
        <v>633</v>
      </c>
      <c r="E18" s="371"/>
    </row>
    <row r="19" spans="1:5" ht="26.25" customHeight="1" x14ac:dyDescent="0.35">
      <c r="A19" s="370" t="s">
        <v>613</v>
      </c>
      <c r="B19" s="372" t="s">
        <v>625</v>
      </c>
      <c r="C19" s="371" t="s">
        <v>634</v>
      </c>
      <c r="D19" s="371" t="s">
        <v>635</v>
      </c>
      <c r="E19" s="371" t="s">
        <v>623</v>
      </c>
    </row>
    <row r="20" spans="1:5" x14ac:dyDescent="0.35">
      <c r="A20" s="370" t="s">
        <v>614</v>
      </c>
      <c r="B20" s="371" t="s">
        <v>664</v>
      </c>
      <c r="C20" s="371"/>
      <c r="D20" s="371"/>
      <c r="E20" s="371"/>
    </row>
    <row r="21" spans="1:5" x14ac:dyDescent="0.35">
      <c r="A21" s="371">
        <v>4.0999999999999996</v>
      </c>
      <c r="B21" s="371" t="s">
        <v>605</v>
      </c>
      <c r="C21" s="409" t="s">
        <v>636</v>
      </c>
      <c r="D21" s="371" t="s">
        <v>637</v>
      </c>
      <c r="E21" s="371"/>
    </row>
    <row r="22" spans="1:5" x14ac:dyDescent="0.35">
      <c r="A22" s="371">
        <v>4.2</v>
      </c>
      <c r="B22" s="371" t="s">
        <v>609</v>
      </c>
      <c r="C22" s="410"/>
      <c r="D22" s="371" t="s">
        <v>638</v>
      </c>
      <c r="E22" s="371"/>
    </row>
    <row r="23" spans="1:5" x14ac:dyDescent="0.35">
      <c r="A23" s="371">
        <v>4.3</v>
      </c>
      <c r="B23" s="371" t="s">
        <v>606</v>
      </c>
      <c r="C23" s="410"/>
      <c r="D23" s="371" t="s">
        <v>639</v>
      </c>
      <c r="E23" s="371"/>
    </row>
    <row r="24" spans="1:5" x14ac:dyDescent="0.35">
      <c r="A24" s="371">
        <v>4.4000000000000004</v>
      </c>
      <c r="B24" s="371" t="s">
        <v>607</v>
      </c>
      <c r="C24" s="410"/>
      <c r="D24" s="371" t="s">
        <v>640</v>
      </c>
      <c r="E24" s="371"/>
    </row>
    <row r="25" spans="1:5" x14ac:dyDescent="0.35">
      <c r="A25" s="371">
        <v>4.5</v>
      </c>
      <c r="B25" s="371" t="s">
        <v>608</v>
      </c>
      <c r="C25" s="410"/>
      <c r="D25" s="371" t="s">
        <v>641</v>
      </c>
      <c r="E25" s="371"/>
    </row>
    <row r="26" spans="1:5" x14ac:dyDescent="0.35">
      <c r="A26" s="371">
        <v>4.5999999999999996</v>
      </c>
      <c r="B26" s="371" t="s">
        <v>610</v>
      </c>
      <c r="C26" s="411"/>
      <c r="D26" s="371" t="s">
        <v>642</v>
      </c>
      <c r="E26" s="371"/>
    </row>
    <row r="27" spans="1:5" ht="43.5" x14ac:dyDescent="0.35">
      <c r="A27" s="370" t="s">
        <v>615</v>
      </c>
      <c r="B27" s="371" t="s">
        <v>599</v>
      </c>
      <c r="C27" s="371" t="s">
        <v>643</v>
      </c>
      <c r="D27" s="371" t="s">
        <v>667</v>
      </c>
      <c r="E27" s="371"/>
    </row>
    <row r="28" spans="1:5" ht="43.5" x14ac:dyDescent="0.35">
      <c r="A28" s="370" t="s">
        <v>616</v>
      </c>
      <c r="B28" s="371" t="s">
        <v>644</v>
      </c>
      <c r="C28" s="371" t="s">
        <v>645</v>
      </c>
      <c r="D28" s="371" t="s">
        <v>646</v>
      </c>
      <c r="E28" s="371"/>
    </row>
    <row r="29" spans="1:5" ht="29" x14ac:dyDescent="0.35">
      <c r="A29" s="370" t="s">
        <v>617</v>
      </c>
      <c r="B29" s="371" t="s">
        <v>600</v>
      </c>
      <c r="C29" s="371" t="s">
        <v>647</v>
      </c>
      <c r="D29" s="371" t="s">
        <v>648</v>
      </c>
      <c r="E29" s="371"/>
    </row>
    <row r="30" spans="1:5" x14ac:dyDescent="0.35">
      <c r="A30" s="369" t="s">
        <v>170</v>
      </c>
      <c r="B30" s="373" t="s">
        <v>649</v>
      </c>
      <c r="C30" s="369"/>
      <c r="D30" s="369"/>
      <c r="E30" s="369"/>
    </row>
    <row r="31" spans="1:5" ht="26.25" customHeight="1" x14ac:dyDescent="0.35">
      <c r="A31" s="374" t="s">
        <v>650</v>
      </c>
      <c r="B31" s="371" t="s">
        <v>602</v>
      </c>
      <c r="C31" s="371"/>
      <c r="D31" s="371" t="s">
        <v>651</v>
      </c>
      <c r="E31" s="371" t="s">
        <v>623</v>
      </c>
    </row>
    <row r="32" spans="1:5" x14ac:dyDescent="0.35">
      <c r="A32" s="374" t="s">
        <v>652</v>
      </c>
      <c r="B32" s="371" t="s">
        <v>603</v>
      </c>
      <c r="C32" s="371"/>
      <c r="D32" s="371" t="s">
        <v>653</v>
      </c>
      <c r="E32" s="371" t="s">
        <v>623</v>
      </c>
    </row>
    <row r="33" spans="1:5" x14ac:dyDescent="0.35">
      <c r="A33" s="374" t="s">
        <v>654</v>
      </c>
      <c r="B33" s="371" t="s">
        <v>604</v>
      </c>
      <c r="C33" s="371"/>
      <c r="D33" s="371" t="s">
        <v>655</v>
      </c>
      <c r="E33" s="371" t="s">
        <v>623</v>
      </c>
    </row>
    <row r="34" spans="1:5" ht="35.25" customHeight="1" x14ac:dyDescent="0.35">
      <c r="A34" s="374" t="s">
        <v>656</v>
      </c>
      <c r="B34" s="371" t="s">
        <v>619</v>
      </c>
      <c r="C34" s="371"/>
      <c r="D34" s="371" t="s">
        <v>657</v>
      </c>
      <c r="E34" s="371" t="s">
        <v>623</v>
      </c>
    </row>
    <row r="35" spans="1:5" ht="35.25" customHeight="1" x14ac:dyDescent="0.35">
      <c r="A35" s="374" t="s">
        <v>658</v>
      </c>
      <c r="B35" s="371" t="s">
        <v>659</v>
      </c>
      <c r="C35" s="371"/>
      <c r="D35" s="371" t="s">
        <v>666</v>
      </c>
      <c r="E35" s="371" t="s">
        <v>623</v>
      </c>
    </row>
    <row r="36" spans="1:5" x14ac:dyDescent="0.35">
      <c r="A36" s="370" t="s">
        <v>660</v>
      </c>
      <c r="B36" s="371" t="s">
        <v>661</v>
      </c>
      <c r="C36" s="371"/>
      <c r="D36" s="371"/>
      <c r="E36" s="371"/>
    </row>
    <row r="37" spans="1:5" x14ac:dyDescent="0.35">
      <c r="A37" s="401"/>
      <c r="B37" s="401"/>
      <c r="C37" s="401"/>
      <c r="D37" s="401"/>
      <c r="E37" s="40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B5:S181"/>
  <sheetViews>
    <sheetView view="pageBreakPreview" topLeftCell="A96" zoomScale="80" zoomScaleSheetLayoutView="80" workbookViewId="0">
      <selection activeCell="B96" sqref="B96"/>
    </sheetView>
  </sheetViews>
  <sheetFormatPr defaultColWidth="8.7265625" defaultRowHeight="14.5" x14ac:dyDescent="0.35"/>
  <cols>
    <col min="1" max="1" width="8.7265625" style="107"/>
    <col min="2" max="2" width="32.7265625" style="107" bestFit="1" customWidth="1"/>
    <col min="3" max="3" width="19.7265625" style="107" customWidth="1"/>
    <col min="4" max="4" width="15.7265625" style="107" customWidth="1"/>
    <col min="5" max="5" width="17.7265625" style="107" customWidth="1"/>
    <col min="6" max="6" width="17.81640625" style="107" customWidth="1"/>
    <col min="7" max="7" width="18" style="107" customWidth="1"/>
    <col min="8" max="8" width="17.81640625" style="107" customWidth="1"/>
    <col min="9" max="9" width="18.7265625" style="107" customWidth="1"/>
    <col min="10" max="10" width="18.1796875" style="107" customWidth="1"/>
    <col min="11" max="11" width="14.453125" style="107" customWidth="1"/>
    <col min="12" max="12" width="14.81640625" style="107" bestFit="1" customWidth="1"/>
    <col min="13" max="18" width="11.81640625" style="107" bestFit="1" customWidth="1"/>
    <col min="19" max="19" width="4.54296875" style="107" bestFit="1" customWidth="1"/>
    <col min="20" max="16384" width="8.7265625" style="107"/>
  </cols>
  <sheetData>
    <row r="5" spans="2:12" x14ac:dyDescent="0.35">
      <c r="B5" s="453" t="s">
        <v>549</v>
      </c>
      <c r="C5" s="453"/>
      <c r="D5" s="453"/>
      <c r="E5" s="453"/>
      <c r="F5" s="453"/>
      <c r="G5" s="453"/>
      <c r="H5" s="453"/>
      <c r="I5" s="453"/>
      <c r="J5" s="453"/>
    </row>
    <row r="6" spans="2:12" x14ac:dyDescent="0.35">
      <c r="B6" s="375"/>
      <c r="C6" s="375"/>
      <c r="D6" s="375"/>
      <c r="E6" s="375"/>
      <c r="F6" s="375"/>
      <c r="G6" s="375"/>
      <c r="H6" s="375"/>
      <c r="I6" s="375"/>
      <c r="J6" s="375"/>
    </row>
    <row r="7" spans="2:12" x14ac:dyDescent="0.35">
      <c r="B7" s="222" t="s">
        <v>29</v>
      </c>
      <c r="C7" s="231" t="s">
        <v>332</v>
      </c>
      <c r="D7" s="231" t="s">
        <v>2</v>
      </c>
      <c r="E7" s="231" t="s">
        <v>3</v>
      </c>
      <c r="F7" s="231" t="s">
        <v>4</v>
      </c>
      <c r="G7" s="231" t="s">
        <v>5</v>
      </c>
      <c r="H7" s="231" t="s">
        <v>6</v>
      </c>
      <c r="I7" s="231" t="s">
        <v>165</v>
      </c>
      <c r="J7" s="231" t="s">
        <v>164</v>
      </c>
      <c r="L7" s="376"/>
    </row>
    <row r="8" spans="2:12" x14ac:dyDescent="0.35">
      <c r="B8" s="161"/>
      <c r="C8" s="161"/>
      <c r="D8" s="161"/>
      <c r="E8" s="161"/>
      <c r="F8" s="161"/>
      <c r="G8" s="161"/>
      <c r="H8" s="161"/>
      <c r="I8" s="161"/>
      <c r="J8" s="161"/>
    </row>
    <row r="9" spans="2:12" x14ac:dyDescent="0.35">
      <c r="B9" s="161" t="s">
        <v>30</v>
      </c>
      <c r="C9" s="161"/>
      <c r="D9" s="223">
        <f>'6.Cons Profit &amp; Loss'!B49</f>
        <v>1557225.5667588792</v>
      </c>
      <c r="E9" s="223">
        <f>'6.Cons Profit &amp; Loss'!C49</f>
        <v>2179221.4360174397</v>
      </c>
      <c r="F9" s="223">
        <f>'6.Cons Profit &amp; Loss'!D49</f>
        <v>2838458.9228139725</v>
      </c>
      <c r="G9" s="223">
        <f>'6.Cons Profit &amp; Loss'!E49</f>
        <v>3557862.4153348003</v>
      </c>
      <c r="H9" s="223">
        <f>'6.Cons Profit &amp; Loss'!F49</f>
        <v>4214046.0054499572</v>
      </c>
      <c r="I9" s="223">
        <f>'6.Cons Profit &amp; Loss'!G49</f>
        <v>4903506.1613793485</v>
      </c>
      <c r="J9" s="223">
        <f>'6.Cons Profit &amp; Loss'!H49</f>
        <v>5622297.2974521946</v>
      </c>
    </row>
    <row r="10" spans="2:12" x14ac:dyDescent="0.35">
      <c r="B10" s="161"/>
      <c r="C10" s="161"/>
      <c r="D10" s="223"/>
      <c r="E10" s="223"/>
      <c r="F10" s="223"/>
      <c r="G10" s="223"/>
      <c r="H10" s="223"/>
      <c r="I10" s="223"/>
      <c r="J10" s="223"/>
    </row>
    <row r="11" spans="2:12" x14ac:dyDescent="0.35">
      <c r="B11" s="164" t="s">
        <v>735</v>
      </c>
      <c r="C11" s="164"/>
      <c r="D11" s="223">
        <f>'6.Cons Profit &amp; Loss'!B40</f>
        <v>791583.62499999988</v>
      </c>
      <c r="E11" s="223">
        <f>'6.Cons Profit &amp; Loss'!C40</f>
        <v>791583.62499999988</v>
      </c>
      <c r="F11" s="223">
        <f>'6.Cons Profit &amp; Loss'!D40</f>
        <v>791583.62499999988</v>
      </c>
      <c r="G11" s="223">
        <f>'6.Cons Profit &amp; Loss'!E40</f>
        <v>791583.62499999988</v>
      </c>
      <c r="H11" s="223">
        <f>'6.Cons Profit &amp; Loss'!F40</f>
        <v>791583.62499999988</v>
      </c>
      <c r="I11" s="223">
        <f>'6.Cons Profit &amp; Loss'!G40</f>
        <v>791583.62499999988</v>
      </c>
      <c r="J11" s="223">
        <f>'6.Cons Profit &amp; Loss'!H40</f>
        <v>791583.62499999988</v>
      </c>
    </row>
    <row r="12" spans="2:12" x14ac:dyDescent="0.35">
      <c r="B12" s="161" t="s">
        <v>35</v>
      </c>
      <c r="C12" s="161"/>
      <c r="D12" s="223">
        <f>'6.Cons Profit &amp; Loss'!B41</f>
        <v>45720</v>
      </c>
      <c r="E12" s="223">
        <f>'6.Cons Profit &amp; Loss'!C41</f>
        <v>45720</v>
      </c>
      <c r="F12" s="223">
        <f>'6.Cons Profit &amp; Loss'!D41</f>
        <v>45720</v>
      </c>
      <c r="G12" s="223">
        <f>'6.Cons Profit &amp; Loss'!E41</f>
        <v>45720</v>
      </c>
      <c r="H12" s="223">
        <f>'6.Cons Profit &amp; Loss'!F41</f>
        <v>45720</v>
      </c>
      <c r="I12" s="223">
        <f>'6.Cons Profit &amp; Loss'!G41</f>
        <v>0</v>
      </c>
      <c r="J12" s="223">
        <f>'6.Cons Profit &amp; Loss'!H41</f>
        <v>0</v>
      </c>
    </row>
    <row r="13" spans="2:12" x14ac:dyDescent="0.35">
      <c r="B13" s="161"/>
      <c r="C13" s="161"/>
      <c r="D13" s="223"/>
      <c r="E13" s="223"/>
      <c r="F13" s="223"/>
      <c r="G13" s="223"/>
      <c r="H13" s="223"/>
      <c r="I13" s="223"/>
      <c r="J13" s="223"/>
    </row>
    <row r="14" spans="2:12" x14ac:dyDescent="0.35">
      <c r="B14" s="161" t="s">
        <v>31</v>
      </c>
      <c r="C14" s="161"/>
      <c r="D14" s="223">
        <f>SUM(D9:D12)</f>
        <v>2394529.191758879</v>
      </c>
      <c r="E14" s="223">
        <f t="shared" ref="E14:J14" si="0">SUM(E9:E12)</f>
        <v>3016525.0610174397</v>
      </c>
      <c r="F14" s="223">
        <f t="shared" si="0"/>
        <v>3675762.5478139725</v>
      </c>
      <c r="G14" s="223">
        <f t="shared" si="0"/>
        <v>4395166.0403348003</v>
      </c>
      <c r="H14" s="223">
        <f t="shared" si="0"/>
        <v>5051349.6304499572</v>
      </c>
      <c r="I14" s="223">
        <f t="shared" si="0"/>
        <v>5695089.7863793485</v>
      </c>
      <c r="J14" s="223">
        <f t="shared" si="0"/>
        <v>6413880.9224521946</v>
      </c>
    </row>
    <row r="15" spans="2:12" x14ac:dyDescent="0.35">
      <c r="B15" s="161" t="s">
        <v>341</v>
      </c>
      <c r="C15" s="224">
        <f>-'1.Project Cost and MOF'!D13</f>
        <v>-18770826.434198141</v>
      </c>
      <c r="D15" s="223">
        <f>D14</f>
        <v>2394529.191758879</v>
      </c>
      <c r="E15" s="223">
        <f t="shared" ref="E15:J15" si="1">E14</f>
        <v>3016525.0610174397</v>
      </c>
      <c r="F15" s="223">
        <f t="shared" si="1"/>
        <v>3675762.5478139725</v>
      </c>
      <c r="G15" s="223">
        <f t="shared" si="1"/>
        <v>4395166.0403348003</v>
      </c>
      <c r="H15" s="223">
        <f t="shared" si="1"/>
        <v>5051349.6304499572</v>
      </c>
      <c r="I15" s="223">
        <f t="shared" si="1"/>
        <v>5695089.7863793485</v>
      </c>
      <c r="J15" s="223">
        <f t="shared" si="1"/>
        <v>6413880.9224521946</v>
      </c>
    </row>
    <row r="16" spans="2:12" x14ac:dyDescent="0.35">
      <c r="B16" s="161" t="s">
        <v>278</v>
      </c>
      <c r="C16" s="225">
        <f>IRR(C15:J15)</f>
        <v>0.11763422366038001</v>
      </c>
      <c r="D16" s="226"/>
      <c r="E16" s="226"/>
      <c r="F16" s="226"/>
      <c r="G16" s="226"/>
      <c r="H16" s="226"/>
      <c r="I16" s="226"/>
      <c r="J16" s="226"/>
    </row>
    <row r="17" spans="2:19" x14ac:dyDescent="0.35">
      <c r="B17" s="161"/>
      <c r="C17" s="161"/>
      <c r="D17" s="161"/>
      <c r="E17" s="161"/>
      <c r="F17" s="161"/>
      <c r="G17" s="161"/>
      <c r="H17" s="161"/>
      <c r="I17" s="161"/>
      <c r="J17" s="161"/>
    </row>
    <row r="18" spans="2:19" x14ac:dyDescent="0.35">
      <c r="B18" s="227" t="s">
        <v>402</v>
      </c>
      <c r="C18" s="227"/>
      <c r="D18" s="226">
        <f>1/(1+$C$16)</f>
        <v>0.89474711746467961</v>
      </c>
      <c r="E18" s="226">
        <f t="shared" ref="E18:J18" si="2">D18/(1+$C$16)</f>
        <v>0.80057240421135312</v>
      </c>
      <c r="F18" s="226">
        <f t="shared" si="2"/>
        <v>0.71630985098987654</v>
      </c>
      <c r="G18" s="226">
        <f t="shared" si="2"/>
        <v>0.64091617438474624</v>
      </c>
      <c r="H18" s="226">
        <f t="shared" si="2"/>
        <v>0.57345789956724158</v>
      </c>
      <c r="I18" s="226">
        <f t="shared" si="2"/>
        <v>0.5130998026251391</v>
      </c>
      <c r="J18" s="226">
        <f t="shared" si="2"/>
        <v>0.45909456937053922</v>
      </c>
      <c r="L18" s="228"/>
      <c r="M18" s="228"/>
      <c r="N18" s="228"/>
      <c r="O18" s="228"/>
      <c r="P18" s="228"/>
      <c r="Q18" s="228"/>
      <c r="R18" s="228"/>
      <c r="S18" s="228"/>
    </row>
    <row r="19" spans="2:19" x14ac:dyDescent="0.35">
      <c r="B19" s="161" t="s">
        <v>32</v>
      </c>
      <c r="C19" s="161"/>
      <c r="D19" s="223">
        <f t="shared" ref="D19:J19" si="3">D14*D18</f>
        <v>2142498.0920112859</v>
      </c>
      <c r="E19" s="223">
        <f t="shared" si="3"/>
        <v>2414946.7204625304</v>
      </c>
      <c r="F19" s="223">
        <f t="shared" si="3"/>
        <v>2632984.9228987955</v>
      </c>
      <c r="G19" s="223">
        <f t="shared" si="3"/>
        <v>2816933.0043571335</v>
      </c>
      <c r="H19" s="223">
        <f t="shared" si="3"/>
        <v>2896736.3490575943</v>
      </c>
      <c r="I19" s="223">
        <f t="shared" si="3"/>
        <v>2922149.4453236894</v>
      </c>
      <c r="J19" s="223">
        <f t="shared" si="3"/>
        <v>2944577.900087107</v>
      </c>
      <c r="L19" s="109"/>
    </row>
    <row r="20" spans="2:19" x14ac:dyDescent="0.35">
      <c r="B20" s="161" t="s">
        <v>33</v>
      </c>
      <c r="C20" s="161"/>
      <c r="D20" s="459">
        <f>SUM(D19:J19)</f>
        <v>18770826.434198134</v>
      </c>
      <c r="E20" s="459"/>
      <c r="F20" s="459"/>
      <c r="G20" s="459"/>
      <c r="H20" s="459"/>
      <c r="I20" s="459"/>
      <c r="J20" s="459"/>
      <c r="L20" s="109"/>
    </row>
    <row r="21" spans="2:19" x14ac:dyDescent="0.35">
      <c r="B21" s="161"/>
      <c r="C21" s="161"/>
      <c r="D21" s="226"/>
      <c r="E21" s="226"/>
      <c r="F21" s="226"/>
      <c r="G21" s="226"/>
      <c r="H21" s="226"/>
      <c r="I21" s="226"/>
      <c r="J21" s="226"/>
    </row>
    <row r="22" spans="2:19" x14ac:dyDescent="0.35">
      <c r="B22" s="229" t="s">
        <v>34</v>
      </c>
      <c r="C22" s="229"/>
      <c r="D22" s="460">
        <f>'1.Project Cost and MOF'!D13</f>
        <v>18770826.434198141</v>
      </c>
      <c r="E22" s="460"/>
      <c r="F22" s="460"/>
      <c r="G22" s="460"/>
      <c r="H22" s="460"/>
      <c r="I22" s="460"/>
      <c r="J22" s="460"/>
    </row>
    <row r="23" spans="2:19" x14ac:dyDescent="0.35">
      <c r="F23" s="228">
        <f>D20-D22</f>
        <v>0</v>
      </c>
    </row>
    <row r="24" spans="2:19" ht="29.5" customHeight="1" x14ac:dyDescent="0.35">
      <c r="B24" s="454" t="s">
        <v>420</v>
      </c>
      <c r="C24" s="454"/>
      <c r="D24" s="454"/>
      <c r="E24" s="454"/>
      <c r="F24" s="454"/>
      <c r="G24" s="454"/>
      <c r="H24" s="454"/>
      <c r="I24" s="454"/>
      <c r="J24" s="454"/>
    </row>
    <row r="25" spans="2:19" x14ac:dyDescent="0.35">
      <c r="K25" s="228"/>
      <c r="L25" s="228"/>
      <c r="M25" s="228"/>
    </row>
    <row r="26" spans="2:19" x14ac:dyDescent="0.35">
      <c r="B26" s="423" t="s">
        <v>550</v>
      </c>
      <c r="C26" s="423"/>
      <c r="D26" s="423"/>
      <c r="E26" s="423"/>
      <c r="F26" s="423"/>
      <c r="G26" s="423"/>
      <c r="H26" s="423"/>
      <c r="I26" s="423"/>
    </row>
    <row r="27" spans="2:19" x14ac:dyDescent="0.35">
      <c r="K27" s="228"/>
    </row>
    <row r="28" spans="2:19" x14ac:dyDescent="0.35">
      <c r="B28" s="230" t="s">
        <v>0</v>
      </c>
      <c r="C28" s="231" t="s">
        <v>2</v>
      </c>
      <c r="D28" s="231" t="s">
        <v>3</v>
      </c>
      <c r="E28" s="231" t="s">
        <v>4</v>
      </c>
      <c r="F28" s="231" t="s">
        <v>5</v>
      </c>
      <c r="G28" s="231" t="s">
        <v>6</v>
      </c>
      <c r="H28" s="231" t="s">
        <v>165</v>
      </c>
      <c r="I28" s="231" t="s">
        <v>164</v>
      </c>
    </row>
    <row r="29" spans="2:19" x14ac:dyDescent="0.35">
      <c r="B29" s="112"/>
      <c r="C29" s="112"/>
      <c r="D29" s="112"/>
      <c r="E29" s="112"/>
      <c r="F29" s="112"/>
      <c r="G29" s="112"/>
      <c r="H29" s="112"/>
      <c r="I29" s="112"/>
    </row>
    <row r="30" spans="2:19" x14ac:dyDescent="0.35">
      <c r="B30" s="112" t="s">
        <v>36</v>
      </c>
      <c r="C30" s="112"/>
      <c r="D30" s="112"/>
      <c r="E30" s="112"/>
      <c r="F30" s="112"/>
      <c r="G30" s="112"/>
      <c r="H30" s="112"/>
      <c r="I30" s="112"/>
    </row>
    <row r="31" spans="2:19" x14ac:dyDescent="0.35">
      <c r="B31" s="112"/>
      <c r="C31" s="115"/>
      <c r="D31" s="115"/>
      <c r="E31" s="115"/>
      <c r="F31" s="115"/>
      <c r="G31" s="115"/>
      <c r="H31" s="115"/>
      <c r="I31" s="115"/>
    </row>
    <row r="32" spans="2:19" x14ac:dyDescent="0.35">
      <c r="B32" s="200" t="str">
        <f>'6.Cons Profit &amp; Loss'!A6</f>
        <v>Faclitiy 1 - Trading Activity</v>
      </c>
      <c r="C32" s="115">
        <f>'6.Cons Profit &amp; Loss'!B6</f>
        <v>72700218.471037492</v>
      </c>
      <c r="D32" s="115">
        <f>'6.Cons Profit &amp; Loss'!C6</f>
        <v>85507170.371677712</v>
      </c>
      <c r="E32" s="115">
        <f>'6.Cons Profit &amp; Loss'!D6</f>
        <v>97959261.870644554</v>
      </c>
      <c r="F32" s="115">
        <f>'6.Cons Profit &amp; Loss'!E6</f>
        <v>111442794.59357895</v>
      </c>
      <c r="G32" s="115">
        <f>'6.Cons Profit &amp; Loss'!F6</f>
        <v>126029782.43413009</v>
      </c>
      <c r="H32" s="115">
        <f>'6.Cons Profit &amp; Loss'!G6</f>
        <v>141796862.07225248</v>
      </c>
      <c r="I32" s="115">
        <f>'6.Cons Profit &amp; Loss'!H6</f>
        <v>158825575.21810174</v>
      </c>
    </row>
    <row r="33" spans="2:9" x14ac:dyDescent="0.35">
      <c r="B33" s="200" t="str">
        <f>'6.Cons Profit &amp; Loss'!A7</f>
        <v>Faclitiy 2 - Processing Unit- Cleaning, Grading</v>
      </c>
      <c r="C33" s="115">
        <f>'6.Cons Profit &amp; Loss'!B7</f>
        <v>0</v>
      </c>
      <c r="D33" s="115">
        <f>'6.Cons Profit &amp; Loss'!C7</f>
        <v>0</v>
      </c>
      <c r="E33" s="115">
        <f>'6.Cons Profit &amp; Loss'!D7</f>
        <v>0</v>
      </c>
      <c r="F33" s="115">
        <f>'6.Cons Profit &amp; Loss'!E7</f>
        <v>0</v>
      </c>
      <c r="G33" s="115">
        <f>'6.Cons Profit &amp; Loss'!F7</f>
        <v>0</v>
      </c>
      <c r="H33" s="115">
        <f>'6.Cons Profit &amp; Loss'!G7</f>
        <v>0</v>
      </c>
      <c r="I33" s="115">
        <f>'6.Cons Profit &amp; Loss'!H7</f>
        <v>0</v>
      </c>
    </row>
    <row r="34" spans="2:9" x14ac:dyDescent="0.35">
      <c r="B34" s="200" t="str">
        <f>'6.Cons Profit &amp; Loss'!A8</f>
        <v>Faclitiy 3 - Warehouse</v>
      </c>
      <c r="C34" s="115">
        <f>'6.Cons Profit &amp; Loss'!B8</f>
        <v>672000</v>
      </c>
      <c r="D34" s="115">
        <f>'6.Cons Profit &amp; Loss'!C8</f>
        <v>749700.00000000023</v>
      </c>
      <c r="E34" s="115">
        <f>'6.Cons Profit &amp; Loss'!D8</f>
        <v>833490.00000000023</v>
      </c>
      <c r="F34" s="115">
        <f>'6.Cons Profit &amp; Loss'!E8</f>
        <v>923784.75000000035</v>
      </c>
      <c r="G34" s="115">
        <f>'6.Cons Profit &amp; Loss'!F8</f>
        <v>1021025.2500000005</v>
      </c>
      <c r="H34" s="115">
        <f>'6.Cons Profit &amp; Loss'!G8</f>
        <v>1072076.5125000007</v>
      </c>
      <c r="I34" s="115">
        <f>'6.Cons Profit &amp; Loss'!H8</f>
        <v>1125680.3381250007</v>
      </c>
    </row>
    <row r="35" spans="2:9" x14ac:dyDescent="0.35">
      <c r="B35" s="200" t="str">
        <f>'6.Cons Profit &amp; Loss'!A9</f>
        <v xml:space="preserve">Faclitiy 4 - Custom Hiring </v>
      </c>
      <c r="C35" s="115">
        <f>'6.Cons Profit &amp; Loss'!B9</f>
        <v>0</v>
      </c>
      <c r="D35" s="115">
        <f>'6.Cons Profit &amp; Loss'!C9</f>
        <v>0</v>
      </c>
      <c r="E35" s="115">
        <f>'6.Cons Profit &amp; Loss'!D9</f>
        <v>0</v>
      </c>
      <c r="F35" s="115">
        <f>'6.Cons Profit &amp; Loss'!E9</f>
        <v>0</v>
      </c>
      <c r="G35" s="115">
        <f>'6.Cons Profit &amp; Loss'!F9</f>
        <v>0</v>
      </c>
      <c r="H35" s="115">
        <f>'6.Cons Profit &amp; Loss'!G9</f>
        <v>0</v>
      </c>
      <c r="I35" s="115">
        <f>'6.Cons Profit &amp; Loss'!H9</f>
        <v>0</v>
      </c>
    </row>
    <row r="36" spans="2:9" x14ac:dyDescent="0.35">
      <c r="B36" s="200" t="str">
        <f>'6.Cons Profit &amp; Loss'!A10</f>
        <v>Faclitiy 5 - Agri Input Centre</v>
      </c>
      <c r="C36" s="115">
        <f>'6.Cons Profit &amp; Loss'!B10</f>
        <v>0</v>
      </c>
      <c r="D36" s="115">
        <f>'6.Cons Profit &amp; Loss'!C10</f>
        <v>0</v>
      </c>
      <c r="E36" s="115">
        <f>'6.Cons Profit &amp; Loss'!D10</f>
        <v>0</v>
      </c>
      <c r="F36" s="115">
        <f>'6.Cons Profit &amp; Loss'!E10</f>
        <v>0</v>
      </c>
      <c r="G36" s="115">
        <f>'6.Cons Profit &amp; Loss'!F10</f>
        <v>0</v>
      </c>
      <c r="H36" s="115">
        <f>'6.Cons Profit &amp; Loss'!G10</f>
        <v>0</v>
      </c>
      <c r="I36" s="115">
        <f>'6.Cons Profit &amp; Loss'!H10</f>
        <v>0</v>
      </c>
    </row>
    <row r="37" spans="2:9" x14ac:dyDescent="0.35">
      <c r="B37" s="200" t="str">
        <f>'6.Cons Profit &amp; Loss'!A11</f>
        <v>Facility 6 - Processing Unit - Horti Commodity</v>
      </c>
      <c r="C37" s="115">
        <f>'6.Cons Profit &amp; Loss'!B11</f>
        <v>0</v>
      </c>
      <c r="D37" s="115">
        <f>'6.Cons Profit &amp; Loss'!C11</f>
        <v>0</v>
      </c>
      <c r="E37" s="115">
        <f>'6.Cons Profit &amp; Loss'!D11</f>
        <v>0</v>
      </c>
      <c r="F37" s="115">
        <f>'6.Cons Profit &amp; Loss'!E11</f>
        <v>0</v>
      </c>
      <c r="G37" s="115">
        <f>'6.Cons Profit &amp; Loss'!F11</f>
        <v>0</v>
      </c>
      <c r="H37" s="115">
        <f>'6.Cons Profit &amp; Loss'!G11</f>
        <v>0</v>
      </c>
      <c r="I37" s="115">
        <f>'6.Cons Profit &amp; Loss'!H11</f>
        <v>0</v>
      </c>
    </row>
    <row r="38" spans="2:9" x14ac:dyDescent="0.35">
      <c r="B38" s="200"/>
      <c r="C38" s="200"/>
      <c r="D38" s="200"/>
      <c r="E38" s="200"/>
      <c r="F38" s="200"/>
      <c r="G38" s="200"/>
      <c r="H38" s="200"/>
      <c r="I38" s="200"/>
    </row>
    <row r="39" spans="2:9" x14ac:dyDescent="0.35">
      <c r="B39" s="112" t="s">
        <v>8</v>
      </c>
      <c r="C39" s="115">
        <f>SUM(C32:C38)</f>
        <v>73372218.471037492</v>
      </c>
      <c r="D39" s="115">
        <f t="shared" ref="D39:I39" si="4">SUM(D32:D38)</f>
        <v>86256870.371677712</v>
      </c>
      <c r="E39" s="115">
        <f t="shared" si="4"/>
        <v>98792751.870644554</v>
      </c>
      <c r="F39" s="115">
        <f t="shared" si="4"/>
        <v>112366579.34357895</v>
      </c>
      <c r="G39" s="115">
        <f t="shared" si="4"/>
        <v>127050807.68413009</v>
      </c>
      <c r="H39" s="115">
        <f t="shared" si="4"/>
        <v>142868938.58475247</v>
      </c>
      <c r="I39" s="115">
        <f t="shared" si="4"/>
        <v>159951255.55622673</v>
      </c>
    </row>
    <row r="40" spans="2:9" x14ac:dyDescent="0.35">
      <c r="B40" s="112"/>
      <c r="C40" s="115"/>
      <c r="D40" s="115"/>
      <c r="E40" s="115"/>
      <c r="F40" s="115"/>
      <c r="G40" s="115"/>
      <c r="H40" s="115"/>
      <c r="I40" s="115"/>
    </row>
    <row r="41" spans="2:9" x14ac:dyDescent="0.35">
      <c r="B41" s="112" t="s">
        <v>37</v>
      </c>
      <c r="C41" s="115">
        <f>'6.Cons Profit &amp; Loss'!B23</f>
        <v>67999318.023450956</v>
      </c>
      <c r="D41" s="115">
        <f>'6.Cons Profit &amp; Loss'!C23</f>
        <v>79892969.797912389</v>
      </c>
      <c r="E41" s="115">
        <f>'6.Cons Profit &amp; Loss'!D23</f>
        <v>91505890.075380296</v>
      </c>
      <c r="F41" s="115">
        <f>'6.Cons Profit &amp; Loss'!E23</f>
        <v>104080369.95610018</v>
      </c>
      <c r="G41" s="115">
        <f>'6.Cons Profit &amp; Loss'!F23</f>
        <v>117683533.09970362</v>
      </c>
      <c r="H41" s="115">
        <f>'6.Cons Profit &amp; Loss'!G23</f>
        <v>132386811.63277714</v>
      </c>
      <c r="I41" s="115">
        <f>'6.Cons Profit &amp; Loss'!H23</f>
        <v>148266209.18640876</v>
      </c>
    </row>
    <row r="42" spans="2:9" x14ac:dyDescent="0.35">
      <c r="B42" s="112"/>
      <c r="C42" s="115"/>
      <c r="D42" s="115"/>
      <c r="E42" s="115"/>
      <c r="F42" s="115"/>
      <c r="G42" s="115"/>
      <c r="H42" s="115"/>
      <c r="I42" s="115"/>
    </row>
    <row r="43" spans="2:9" x14ac:dyDescent="0.35">
      <c r="B43" s="116" t="s">
        <v>38</v>
      </c>
      <c r="C43" s="117">
        <f>C39-C41</f>
        <v>5372900.4475865364</v>
      </c>
      <c r="D43" s="117">
        <f t="shared" ref="D43:I43" si="5">D39-D41</f>
        <v>6363900.5737653226</v>
      </c>
      <c r="E43" s="117">
        <f t="shared" si="5"/>
        <v>7286861.795264259</v>
      </c>
      <c r="F43" s="117">
        <f t="shared" si="5"/>
        <v>8286209.3874787688</v>
      </c>
      <c r="G43" s="117">
        <f t="shared" si="5"/>
        <v>9367274.5844264627</v>
      </c>
      <c r="H43" s="117">
        <f t="shared" si="5"/>
        <v>10482126.951975331</v>
      </c>
      <c r="I43" s="117">
        <f t="shared" si="5"/>
        <v>11685046.369817972</v>
      </c>
    </row>
    <row r="44" spans="2:9" x14ac:dyDescent="0.35">
      <c r="B44" s="112"/>
      <c r="C44" s="115"/>
      <c r="D44" s="115"/>
      <c r="E44" s="115"/>
      <c r="F44" s="115"/>
      <c r="G44" s="115"/>
      <c r="H44" s="115"/>
      <c r="I44" s="115"/>
    </row>
    <row r="45" spans="2:9" x14ac:dyDescent="0.35">
      <c r="B45" s="116" t="s">
        <v>40</v>
      </c>
      <c r="C45" s="117">
        <f>'6.Cons Profit &amp; Loss'!B34+'6.Cons Profit &amp; Loss'!B41+'6.Cons Profit &amp; Loss'!B40</f>
        <v>2988103.625</v>
      </c>
      <c r="D45" s="117">
        <f>'6.Cons Profit &amp; Loss'!C34+'6.Cons Profit &amp; Loss'!C41+'6.Cons Profit &amp; Loss'!C40</f>
        <v>3095643.625</v>
      </c>
      <c r="E45" s="117">
        <f>'6.Cons Profit &amp; Loss'!D34+'6.Cons Profit &amp; Loss'!D41+'6.Cons Profit &amp; Loss'!D40</f>
        <v>3208560.625</v>
      </c>
      <c r="F45" s="117">
        <f>'6.Cons Profit &amp; Loss'!E34+'6.Cons Profit &amp; Loss'!E41+'6.Cons Profit &amp; Loss'!E40</f>
        <v>3327123.4750000006</v>
      </c>
      <c r="G45" s="117">
        <f>'6.Cons Profit &amp; Loss'!F34+'6.Cons Profit &amp; Loss'!F41+'6.Cons Profit &amp; Loss'!F40</f>
        <v>3451614.4675000007</v>
      </c>
      <c r="H45" s="117">
        <f>'6.Cons Profit &amp; Loss'!G34+'6.Cons Profit &amp; Loss'!G41+'6.Cons Profit &amp; Loss'!G40</f>
        <v>3536610.0096250009</v>
      </c>
      <c r="I45" s="117">
        <f>'6.Cons Profit &amp; Loss'!H34+'6.Cons Profit &amp; Loss'!H41+'6.Cons Profit &amp; Loss'!H40</f>
        <v>3673861.3288562512</v>
      </c>
    </row>
    <row r="46" spans="2:9" x14ac:dyDescent="0.35">
      <c r="B46" s="112"/>
      <c r="C46" s="112"/>
      <c r="D46" s="112"/>
      <c r="E46" s="112"/>
      <c r="F46" s="112"/>
      <c r="G46" s="112"/>
      <c r="H46" s="112"/>
      <c r="I46" s="112"/>
    </row>
    <row r="47" spans="2:9" x14ac:dyDescent="0.35">
      <c r="B47" s="112" t="s">
        <v>39</v>
      </c>
      <c r="C47" s="232">
        <f>C45/C43</f>
        <v>0.55614349347236314</v>
      </c>
      <c r="D47" s="232">
        <f>D45/D43</f>
        <v>0.48643808763473556</v>
      </c>
      <c r="E47" s="232">
        <f>E45/E43</f>
        <v>0.44032132283409681</v>
      </c>
      <c r="F47" s="232">
        <f>F45/F43</f>
        <v>0.40152539230152606</v>
      </c>
      <c r="G47" s="232">
        <f>G45/G43</f>
        <v>0.36847585030105484</v>
      </c>
      <c r="H47" s="232">
        <f t="shared" ref="H47:I47" si="6">H45/H43</f>
        <v>0.33739431184417545</v>
      </c>
      <c r="I47" s="232">
        <f t="shared" si="6"/>
        <v>0.31440708171648291</v>
      </c>
    </row>
    <row r="49" spans="2:10" x14ac:dyDescent="0.35">
      <c r="B49" s="233" t="s">
        <v>132</v>
      </c>
      <c r="C49" s="234">
        <f>AVERAGE(C47:I47)</f>
        <v>0.41495793430063355</v>
      </c>
    </row>
    <row r="51" spans="2:10" ht="41.5" customHeight="1" x14ac:dyDescent="0.35">
      <c r="B51" s="455" t="s">
        <v>421</v>
      </c>
      <c r="C51" s="455"/>
      <c r="D51" s="455"/>
      <c r="E51" s="455"/>
      <c r="F51" s="455"/>
      <c r="G51" s="455"/>
      <c r="H51" s="455"/>
      <c r="I51" s="455"/>
      <c r="J51" s="455"/>
    </row>
    <row r="54" spans="2:10" x14ac:dyDescent="0.35">
      <c r="B54" s="423" t="s">
        <v>551</v>
      </c>
      <c r="C54" s="423"/>
      <c r="D54" s="423"/>
      <c r="E54" s="423"/>
      <c r="F54" s="423"/>
      <c r="G54" s="423"/>
      <c r="H54" s="423"/>
      <c r="I54" s="423"/>
    </row>
    <row r="56" spans="2:10" x14ac:dyDescent="0.35">
      <c r="B56" s="181" t="s">
        <v>29</v>
      </c>
      <c r="C56" s="195" t="s">
        <v>2</v>
      </c>
      <c r="D56" s="195" t="s">
        <v>3</v>
      </c>
      <c r="E56" s="195" t="s">
        <v>4</v>
      </c>
      <c r="F56" s="195" t="s">
        <v>5</v>
      </c>
      <c r="G56" s="195" t="s">
        <v>6</v>
      </c>
      <c r="H56" s="195" t="s">
        <v>165</v>
      </c>
      <c r="I56" s="195" t="s">
        <v>164</v>
      </c>
    </row>
    <row r="57" spans="2:10" x14ac:dyDescent="0.35">
      <c r="B57" s="112"/>
      <c r="C57" s="112"/>
      <c r="D57" s="112"/>
      <c r="E57" s="112"/>
      <c r="F57" s="112"/>
      <c r="G57" s="112"/>
      <c r="H57" s="112"/>
      <c r="I57" s="112"/>
    </row>
    <row r="58" spans="2:10" x14ac:dyDescent="0.35">
      <c r="B58" s="112" t="s">
        <v>369</v>
      </c>
      <c r="C58" s="235">
        <f>'6.Cons Profit &amp; Loss'!B49</f>
        <v>1557225.5667588792</v>
      </c>
      <c r="D58" s="235">
        <f>'6.Cons Profit &amp; Loss'!C49</f>
        <v>2179221.4360174397</v>
      </c>
      <c r="E58" s="235">
        <f>'6.Cons Profit &amp; Loss'!D49</f>
        <v>2838458.9228139725</v>
      </c>
      <c r="F58" s="235">
        <f>'6.Cons Profit &amp; Loss'!E49</f>
        <v>3557862.4153348003</v>
      </c>
      <c r="G58" s="235">
        <f>'6.Cons Profit &amp; Loss'!F49</f>
        <v>4214046.0054499572</v>
      </c>
      <c r="H58" s="235">
        <f>'6.Cons Profit &amp; Loss'!G49</f>
        <v>4903506.1613793485</v>
      </c>
      <c r="I58" s="235">
        <f>'6.Cons Profit &amp; Loss'!H49</f>
        <v>5622297.2974521946</v>
      </c>
    </row>
    <row r="59" spans="2:10" x14ac:dyDescent="0.35">
      <c r="B59" s="112"/>
      <c r="C59" s="235"/>
      <c r="D59" s="235"/>
      <c r="E59" s="235"/>
      <c r="F59" s="235"/>
      <c r="G59" s="235"/>
      <c r="H59" s="235"/>
      <c r="I59" s="235"/>
    </row>
    <row r="60" spans="2:10" x14ac:dyDescent="0.35">
      <c r="B60" s="112" t="s">
        <v>41</v>
      </c>
      <c r="C60" s="235">
        <f>'6.Cons Profit &amp; Loss'!B40</f>
        <v>791583.62499999988</v>
      </c>
      <c r="D60" s="235">
        <f>'6.Cons Profit &amp; Loss'!C40</f>
        <v>791583.62499999988</v>
      </c>
      <c r="E60" s="235">
        <f>'6.Cons Profit &amp; Loss'!D40</f>
        <v>791583.62499999988</v>
      </c>
      <c r="F60" s="235">
        <f>'6.Cons Profit &amp; Loss'!E40</f>
        <v>791583.62499999988</v>
      </c>
      <c r="G60" s="235">
        <f>'6.Cons Profit &amp; Loss'!F40</f>
        <v>791583.62499999988</v>
      </c>
      <c r="H60" s="235">
        <f>'6.Cons Profit &amp; Loss'!G40</f>
        <v>791583.62499999988</v>
      </c>
      <c r="I60" s="235">
        <f>'6.Cons Profit &amp; Loss'!H40</f>
        <v>791583.62499999988</v>
      </c>
    </row>
    <row r="61" spans="2:10" x14ac:dyDescent="0.35">
      <c r="B61" s="236" t="s">
        <v>47</v>
      </c>
      <c r="C61" s="235">
        <f>'6.Cons Profit &amp; Loss'!B41</f>
        <v>45720</v>
      </c>
      <c r="D61" s="235">
        <f>'6.Cons Profit &amp; Loss'!C41</f>
        <v>45720</v>
      </c>
      <c r="E61" s="235">
        <f>'6.Cons Profit &amp; Loss'!D41</f>
        <v>45720</v>
      </c>
      <c r="F61" s="235">
        <f>'6.Cons Profit &amp; Loss'!E41</f>
        <v>45720</v>
      </c>
      <c r="G61" s="235">
        <f>'6.Cons Profit &amp; Loss'!F41</f>
        <v>45720</v>
      </c>
      <c r="H61" s="235">
        <f>'6.Cons Profit &amp; Loss'!G41</f>
        <v>0</v>
      </c>
      <c r="I61" s="235">
        <f>'6.Cons Profit &amp; Loss'!H41</f>
        <v>0</v>
      </c>
    </row>
    <row r="62" spans="2:10" x14ac:dyDescent="0.35">
      <c r="B62" s="112"/>
      <c r="C62" s="235"/>
      <c r="D62" s="235"/>
      <c r="E62" s="235"/>
      <c r="F62" s="235"/>
      <c r="G62" s="235"/>
      <c r="H62" s="235"/>
      <c r="I62" s="235"/>
    </row>
    <row r="63" spans="2:10" x14ac:dyDescent="0.35">
      <c r="B63" s="112" t="s">
        <v>31</v>
      </c>
      <c r="C63" s="235">
        <f>SUM(C58:C61)</f>
        <v>2394529.191758879</v>
      </c>
      <c r="D63" s="235">
        <f t="shared" ref="D63:I63" si="7">SUM(D58:D61)</f>
        <v>3016525.0610174397</v>
      </c>
      <c r="E63" s="235">
        <f t="shared" si="7"/>
        <v>3675762.5478139725</v>
      </c>
      <c r="F63" s="235">
        <f t="shared" si="7"/>
        <v>4395166.0403348003</v>
      </c>
      <c r="G63" s="235">
        <f t="shared" si="7"/>
        <v>5051349.6304499572</v>
      </c>
      <c r="H63" s="235">
        <f t="shared" si="7"/>
        <v>5695089.7863793485</v>
      </c>
      <c r="I63" s="235">
        <f t="shared" si="7"/>
        <v>6413880.9224521946</v>
      </c>
    </row>
    <row r="64" spans="2:10" x14ac:dyDescent="0.35">
      <c r="B64" s="112"/>
      <c r="C64" s="112"/>
      <c r="D64" s="112"/>
      <c r="E64" s="112"/>
      <c r="F64" s="112"/>
      <c r="G64" s="112"/>
      <c r="H64" s="112"/>
      <c r="I64" s="112"/>
    </row>
    <row r="65" spans="2:10" x14ac:dyDescent="0.35">
      <c r="B65" s="154" t="s">
        <v>42</v>
      </c>
      <c r="C65" s="200">
        <f>1/1.1</f>
        <v>0.90909090909090906</v>
      </c>
      <c r="D65" s="200">
        <f t="shared" ref="D65:I65" si="8">C65/1.1</f>
        <v>0.82644628099173545</v>
      </c>
      <c r="E65" s="200">
        <f t="shared" si="8"/>
        <v>0.75131480090157765</v>
      </c>
      <c r="F65" s="200">
        <f t="shared" si="8"/>
        <v>0.68301345536507052</v>
      </c>
      <c r="G65" s="200">
        <f t="shared" si="8"/>
        <v>0.62092132305915493</v>
      </c>
      <c r="H65" s="200">
        <f t="shared" si="8"/>
        <v>0.56447393005377711</v>
      </c>
      <c r="I65" s="200">
        <f t="shared" si="8"/>
        <v>0.51315811823070645</v>
      </c>
    </row>
    <row r="66" spans="2:10" x14ac:dyDescent="0.35">
      <c r="B66" s="112"/>
      <c r="C66" s="112"/>
      <c r="D66" s="112"/>
      <c r="E66" s="112"/>
      <c r="F66" s="112"/>
      <c r="G66" s="112"/>
      <c r="H66" s="112"/>
      <c r="I66" s="112"/>
    </row>
    <row r="67" spans="2:10" x14ac:dyDescent="0.35">
      <c r="B67" s="154" t="s">
        <v>43</v>
      </c>
      <c r="C67" s="115">
        <f>C63*C65</f>
        <v>2176844.719780799</v>
      </c>
      <c r="D67" s="115">
        <f t="shared" ref="D67:I67" si="9">D63*D65</f>
        <v>2492995.9181962307</v>
      </c>
      <c r="E67" s="115">
        <f t="shared" si="9"/>
        <v>2761654.8067723303</v>
      </c>
      <c r="F67" s="115">
        <f t="shared" si="9"/>
        <v>3001957.544112287</v>
      </c>
      <c r="G67" s="115">
        <f t="shared" si="9"/>
        <v>3136490.6957733608</v>
      </c>
      <c r="H67" s="115">
        <f t="shared" si="9"/>
        <v>3214729.7137266765</v>
      </c>
      <c r="I67" s="115">
        <f t="shared" si="9"/>
        <v>3291335.0647213957</v>
      </c>
    </row>
    <row r="68" spans="2:10" x14ac:dyDescent="0.35">
      <c r="C68" s="237"/>
      <c r="D68" s="237"/>
      <c r="E68" s="237"/>
      <c r="F68" s="237"/>
      <c r="G68" s="237"/>
      <c r="H68" s="237"/>
      <c r="I68" s="237"/>
    </row>
    <row r="69" spans="2:10" x14ac:dyDescent="0.35">
      <c r="B69" s="144" t="s">
        <v>44</v>
      </c>
      <c r="C69" s="237">
        <f>SUM(C67:I67)</f>
        <v>20076008.463083081</v>
      </c>
      <c r="D69" s="237"/>
      <c r="E69" s="237"/>
      <c r="F69" s="237"/>
      <c r="G69" s="237"/>
      <c r="H69" s="237"/>
      <c r="I69" s="237"/>
    </row>
    <row r="70" spans="2:10" x14ac:dyDescent="0.35">
      <c r="C70" s="237"/>
      <c r="D70" s="237"/>
      <c r="E70" s="237"/>
      <c r="F70" s="237"/>
      <c r="G70" s="237"/>
      <c r="H70" s="237"/>
      <c r="I70" s="237"/>
    </row>
    <row r="71" spans="2:10" x14ac:dyDescent="0.35">
      <c r="B71" s="144" t="s">
        <v>45</v>
      </c>
      <c r="C71" s="237">
        <f>'1.Project Cost and MOF'!D13</f>
        <v>18770826.434198141</v>
      </c>
      <c r="D71" s="237"/>
      <c r="E71" s="237"/>
      <c r="F71" s="237"/>
      <c r="G71" s="237"/>
      <c r="H71" s="237"/>
      <c r="I71" s="237"/>
    </row>
    <row r="72" spans="2:10" x14ac:dyDescent="0.35">
      <c r="C72" s="238"/>
    </row>
    <row r="73" spans="2:10" x14ac:dyDescent="0.35">
      <c r="B73" s="144" t="s">
        <v>46</v>
      </c>
      <c r="C73" s="239">
        <f>C69-C71</f>
        <v>1305182.0288849398</v>
      </c>
    </row>
    <row r="75" spans="2:10" ht="35.15" customHeight="1" x14ac:dyDescent="0.35">
      <c r="B75" s="429" t="s">
        <v>422</v>
      </c>
      <c r="C75" s="429"/>
      <c r="D75" s="429"/>
      <c r="E75" s="429"/>
      <c r="F75" s="429"/>
      <c r="G75" s="429"/>
      <c r="H75" s="429"/>
      <c r="I75" s="429"/>
      <c r="J75" s="429"/>
    </row>
    <row r="76" spans="2:10" x14ac:dyDescent="0.35">
      <c r="B76" s="423" t="s">
        <v>552</v>
      </c>
      <c r="C76" s="423"/>
      <c r="D76" s="423"/>
      <c r="E76" s="423"/>
      <c r="F76" s="423"/>
      <c r="G76" s="423"/>
      <c r="H76" s="423"/>
      <c r="I76" s="423"/>
    </row>
    <row r="78" spans="2:10" x14ac:dyDescent="0.35">
      <c r="B78" s="195" t="s">
        <v>0</v>
      </c>
      <c r="C78" s="195" t="s">
        <v>2</v>
      </c>
      <c r="D78" s="195" t="s">
        <v>3</v>
      </c>
      <c r="E78" s="195" t="s">
        <v>4</v>
      </c>
      <c r="F78" s="195" t="s">
        <v>5</v>
      </c>
      <c r="G78" s="195" t="s">
        <v>6</v>
      </c>
      <c r="H78" s="195" t="s">
        <v>165</v>
      </c>
      <c r="I78" s="195" t="s">
        <v>164</v>
      </c>
    </row>
    <row r="79" spans="2:10" x14ac:dyDescent="0.35">
      <c r="B79" s="241"/>
      <c r="C79" s="242"/>
      <c r="D79" s="242"/>
      <c r="E79" s="242"/>
      <c r="F79" s="242"/>
      <c r="G79" s="242"/>
      <c r="H79" s="242"/>
      <c r="I79" s="242"/>
    </row>
    <row r="80" spans="2:10" x14ac:dyDescent="0.35">
      <c r="B80" s="116" t="s">
        <v>27</v>
      </c>
      <c r="C80" s="115">
        <f>'6.Cons Profit &amp; Loss'!B49</f>
        <v>1557225.5667588792</v>
      </c>
      <c r="D80" s="115">
        <f>'6.Cons Profit &amp; Loss'!C49</f>
        <v>2179221.4360174397</v>
      </c>
      <c r="E80" s="115">
        <f>'6.Cons Profit &amp; Loss'!D49</f>
        <v>2838458.9228139725</v>
      </c>
      <c r="F80" s="115">
        <f>'6.Cons Profit &amp; Loss'!E49</f>
        <v>3557862.4153348003</v>
      </c>
      <c r="G80" s="115">
        <f>'6.Cons Profit &amp; Loss'!F49</f>
        <v>4214046.0054499572</v>
      </c>
      <c r="H80" s="115">
        <f>'6.Cons Profit &amp; Loss'!G49</f>
        <v>4903506.1613793485</v>
      </c>
      <c r="I80" s="115">
        <f>'6.Cons Profit &amp; Loss'!H49</f>
        <v>5622297.2974521946</v>
      </c>
    </row>
    <row r="81" spans="2:10" x14ac:dyDescent="0.35">
      <c r="B81" s="112"/>
      <c r="C81" s="112"/>
      <c r="D81" s="112"/>
      <c r="E81" s="112"/>
      <c r="F81" s="112"/>
      <c r="G81" s="112"/>
      <c r="H81" s="112"/>
      <c r="I81" s="112"/>
    </row>
    <row r="82" spans="2:10" x14ac:dyDescent="0.35">
      <c r="B82" s="116" t="s">
        <v>123</v>
      </c>
      <c r="C82" s="462">
        <f>AVERAGE(C80:I80)</f>
        <v>3553231.1150295129</v>
      </c>
      <c r="D82" s="462"/>
      <c r="E82" s="462"/>
      <c r="F82" s="462"/>
      <c r="G82" s="462"/>
      <c r="H82" s="462"/>
      <c r="I82" s="462"/>
    </row>
    <row r="83" spans="2:10" x14ac:dyDescent="0.35">
      <c r="B83" s="116" t="s">
        <v>124</v>
      </c>
      <c r="C83" s="500">
        <f>'1.Project Cost and MOF'!D13</f>
        <v>18770826.434198141</v>
      </c>
      <c r="D83" s="500"/>
      <c r="E83" s="500"/>
      <c r="F83" s="500"/>
      <c r="G83" s="500"/>
      <c r="H83" s="500"/>
      <c r="I83" s="500"/>
    </row>
    <row r="84" spans="2:10" x14ac:dyDescent="0.35">
      <c r="B84" s="112"/>
      <c r="C84" s="112"/>
      <c r="D84" s="112"/>
      <c r="E84" s="112"/>
      <c r="F84" s="112"/>
      <c r="G84" s="112"/>
      <c r="H84" s="112"/>
      <c r="I84" s="112"/>
    </row>
    <row r="85" spans="2:10" x14ac:dyDescent="0.35">
      <c r="B85" s="240" t="s">
        <v>125</v>
      </c>
      <c r="C85" s="463">
        <f>C82/C83</f>
        <v>0.18929540089699845</v>
      </c>
      <c r="D85" s="463"/>
      <c r="E85" s="463"/>
      <c r="F85" s="463"/>
      <c r="G85" s="463"/>
      <c r="H85" s="463"/>
      <c r="I85" s="463"/>
    </row>
    <row r="88" spans="2:10" x14ac:dyDescent="0.35">
      <c r="B88" s="461" t="s">
        <v>423</v>
      </c>
      <c r="C88" s="461"/>
      <c r="D88" s="461"/>
      <c r="E88" s="461"/>
      <c r="F88" s="461"/>
      <c r="G88" s="461"/>
      <c r="H88" s="461"/>
      <c r="I88" s="461"/>
    </row>
    <row r="90" spans="2:10" x14ac:dyDescent="0.35">
      <c r="B90" s="423" t="s">
        <v>553</v>
      </c>
      <c r="C90" s="423"/>
      <c r="D90" s="423"/>
      <c r="E90" s="423"/>
      <c r="F90" s="423"/>
      <c r="G90" s="423"/>
      <c r="H90" s="423"/>
      <c r="I90" s="423"/>
      <c r="J90" s="423"/>
    </row>
    <row r="92" spans="2:10" x14ac:dyDescent="0.35">
      <c r="B92" s="231" t="s">
        <v>0</v>
      </c>
      <c r="C92" s="231" t="s">
        <v>332</v>
      </c>
      <c r="D92" s="231" t="s">
        <v>2</v>
      </c>
      <c r="E92" s="231" t="s">
        <v>3</v>
      </c>
      <c r="F92" s="231" t="s">
        <v>4</v>
      </c>
      <c r="G92" s="231" t="s">
        <v>5</v>
      </c>
      <c r="H92" s="231" t="s">
        <v>6</v>
      </c>
      <c r="I92" s="231" t="s">
        <v>165</v>
      </c>
      <c r="J92" s="231" t="s">
        <v>164</v>
      </c>
    </row>
    <row r="93" spans="2:10" x14ac:dyDescent="0.35">
      <c r="B93" s="241"/>
      <c r="C93" s="241"/>
      <c r="D93" s="242"/>
      <c r="E93" s="242"/>
      <c r="F93" s="242"/>
      <c r="G93" s="242"/>
      <c r="H93" s="242"/>
      <c r="I93" s="242"/>
      <c r="J93" s="242"/>
    </row>
    <row r="94" spans="2:10" x14ac:dyDescent="0.35">
      <c r="B94" s="125" t="s">
        <v>279</v>
      </c>
      <c r="C94" s="243">
        <f>'1.Project Cost and MOF'!D13</f>
        <v>18770826.434198141</v>
      </c>
      <c r="D94" s="242"/>
      <c r="E94" s="242"/>
      <c r="F94" s="242"/>
      <c r="G94" s="242"/>
      <c r="H94" s="242"/>
      <c r="I94" s="242"/>
      <c r="J94" s="242"/>
    </row>
    <row r="95" spans="2:10" x14ac:dyDescent="0.35">
      <c r="B95" s="112" t="str">
        <f>B58</f>
        <v>Profit after Tax &amp; Dividend</v>
      </c>
      <c r="C95" s="112"/>
      <c r="D95" s="115">
        <f>'6.Cons Profit &amp; Loss'!B49</f>
        <v>1557225.5667588792</v>
      </c>
      <c r="E95" s="115">
        <f>'6.Cons Profit &amp; Loss'!C49</f>
        <v>2179221.4360174397</v>
      </c>
      <c r="F95" s="115">
        <f>'6.Cons Profit &amp; Loss'!D49</f>
        <v>2838458.9228139725</v>
      </c>
      <c r="G95" s="115">
        <f>'6.Cons Profit &amp; Loss'!E49</f>
        <v>3557862.4153348003</v>
      </c>
      <c r="H95" s="115">
        <f>'6.Cons Profit &amp; Loss'!F49</f>
        <v>4214046.0054499572</v>
      </c>
      <c r="I95" s="115">
        <f>'6.Cons Profit &amp; Loss'!G49</f>
        <v>4903506.1613793485</v>
      </c>
      <c r="J95" s="115">
        <f>'6.Cons Profit &amp; Loss'!H49</f>
        <v>5622297.2974521946</v>
      </c>
    </row>
    <row r="96" spans="2:10" x14ac:dyDescent="0.35">
      <c r="B96" s="112" t="str">
        <f>B60</f>
        <v>Add: Deprication</v>
      </c>
      <c r="C96" s="112"/>
      <c r="D96" s="244">
        <f>'6.Cons Profit &amp; Loss'!B40</f>
        <v>791583.62499999988</v>
      </c>
      <c r="E96" s="244">
        <f>'6.Cons Profit &amp; Loss'!C40</f>
        <v>791583.62499999988</v>
      </c>
      <c r="F96" s="244">
        <f>'6.Cons Profit &amp; Loss'!D40</f>
        <v>791583.62499999988</v>
      </c>
      <c r="G96" s="244">
        <f>'6.Cons Profit &amp; Loss'!E40</f>
        <v>791583.62499999988</v>
      </c>
      <c r="H96" s="244">
        <f>'6.Cons Profit &amp; Loss'!F40</f>
        <v>791583.62499999988</v>
      </c>
      <c r="I96" s="244">
        <f>'6.Cons Profit &amp; Loss'!G40</f>
        <v>791583.62499999988</v>
      </c>
      <c r="J96" s="244">
        <f>'6.Cons Profit &amp; Loss'!H40</f>
        <v>791583.62499999988</v>
      </c>
    </row>
    <row r="97" spans="2:10" x14ac:dyDescent="0.35">
      <c r="B97" s="112" t="str">
        <f>B61</f>
        <v>Add. Preliminary exp Written off</v>
      </c>
      <c r="C97" s="112"/>
      <c r="D97" s="244">
        <f>'6.Cons Profit &amp; Loss'!B41</f>
        <v>45720</v>
      </c>
      <c r="E97" s="244">
        <f>'6.Cons Profit &amp; Loss'!C41</f>
        <v>45720</v>
      </c>
      <c r="F97" s="244">
        <f>'6.Cons Profit &amp; Loss'!D41</f>
        <v>45720</v>
      </c>
      <c r="G97" s="244">
        <f>'6.Cons Profit &amp; Loss'!E41</f>
        <v>45720</v>
      </c>
      <c r="H97" s="244">
        <f>'6.Cons Profit &amp; Loss'!F41</f>
        <v>45720</v>
      </c>
      <c r="I97" s="244">
        <f>'6.Cons Profit &amp; Loss'!G41</f>
        <v>0</v>
      </c>
      <c r="J97" s="244">
        <f>'6.Cons Profit &amp; Loss'!H41</f>
        <v>0</v>
      </c>
    </row>
    <row r="98" spans="2:10" x14ac:dyDescent="0.35">
      <c r="B98" s="112" t="str">
        <f>B63</f>
        <v xml:space="preserve">Net Cash Accrual (A)      </v>
      </c>
      <c r="C98" s="112"/>
      <c r="D98" s="199">
        <f>SUM(D95:D97)</f>
        <v>2394529.191758879</v>
      </c>
      <c r="E98" s="199">
        <f t="shared" ref="E98:J98" si="10">SUM(E95:E97)</f>
        <v>3016525.0610174397</v>
      </c>
      <c r="F98" s="199">
        <f t="shared" si="10"/>
        <v>3675762.5478139725</v>
      </c>
      <c r="G98" s="199">
        <f t="shared" si="10"/>
        <v>4395166.0403348003</v>
      </c>
      <c r="H98" s="199">
        <f t="shared" si="10"/>
        <v>5051349.6304499572</v>
      </c>
      <c r="I98" s="199">
        <f t="shared" si="10"/>
        <v>5695089.7863793485</v>
      </c>
      <c r="J98" s="199">
        <f t="shared" si="10"/>
        <v>6413880.9224521946</v>
      </c>
    </row>
    <row r="99" spans="2:10" x14ac:dyDescent="0.35">
      <c r="B99" s="125" t="s">
        <v>280</v>
      </c>
      <c r="C99" s="245"/>
      <c r="D99" s="246">
        <f>D98-C94</f>
        <v>-16376297.242439263</v>
      </c>
      <c r="E99" s="246">
        <f t="shared" ref="E99:J99" si="11">D99+E98</f>
        <v>-13359772.181421824</v>
      </c>
      <c r="F99" s="246">
        <f t="shared" si="11"/>
        <v>-9684009.6336078513</v>
      </c>
      <c r="G99" s="246">
        <f t="shared" si="11"/>
        <v>-5288843.5932730511</v>
      </c>
      <c r="H99" s="246">
        <f t="shared" si="11"/>
        <v>-237493.96282309387</v>
      </c>
      <c r="I99" s="246">
        <f t="shared" si="11"/>
        <v>5457595.8235562546</v>
      </c>
      <c r="J99" s="246">
        <f t="shared" si="11"/>
        <v>11871476.746008448</v>
      </c>
    </row>
    <row r="101" spans="2:10" x14ac:dyDescent="0.35">
      <c r="B101" s="247" t="s">
        <v>281</v>
      </c>
      <c r="D101" s="248">
        <f>4+(-G99/H98)</f>
        <v>5.0470159423120231</v>
      </c>
    </row>
    <row r="103" spans="2:10" x14ac:dyDescent="0.35">
      <c r="B103" s="461" t="s">
        <v>424</v>
      </c>
      <c r="C103" s="461"/>
      <c r="D103" s="461"/>
      <c r="E103" s="461"/>
      <c r="F103" s="461"/>
      <c r="G103" s="461"/>
      <c r="H103" s="461"/>
      <c r="I103" s="461"/>
      <c r="J103" s="461"/>
    </row>
    <row r="105" spans="2:10" x14ac:dyDescent="0.35">
      <c r="B105" s="423" t="s">
        <v>732</v>
      </c>
      <c r="C105" s="423"/>
      <c r="D105" s="423"/>
      <c r="E105" s="423"/>
      <c r="F105" s="423"/>
      <c r="G105" s="423"/>
      <c r="H105" s="423"/>
      <c r="I105" s="423"/>
    </row>
    <row r="107" spans="2:10" x14ac:dyDescent="0.35">
      <c r="B107" s="195" t="s">
        <v>0</v>
      </c>
      <c r="C107" s="195" t="s">
        <v>2</v>
      </c>
      <c r="D107" s="195" t="s">
        <v>3</v>
      </c>
      <c r="E107" s="195" t="s">
        <v>4</v>
      </c>
      <c r="F107" s="195" t="s">
        <v>5</v>
      </c>
      <c r="G107" s="195" t="s">
        <v>6</v>
      </c>
      <c r="H107" s="195" t="s">
        <v>165</v>
      </c>
      <c r="I107" s="195" t="s">
        <v>164</v>
      </c>
    </row>
    <row r="108" spans="2:10" x14ac:dyDescent="0.35">
      <c r="B108" s="241"/>
      <c r="C108" s="242"/>
      <c r="D108" s="242"/>
      <c r="E108" s="242"/>
      <c r="F108" s="242"/>
      <c r="G108" s="242"/>
      <c r="H108" s="242"/>
      <c r="I108" s="242"/>
    </row>
    <row r="109" spans="2:10" x14ac:dyDescent="0.35">
      <c r="B109" s="112" t="s">
        <v>335</v>
      </c>
      <c r="C109" s="115">
        <f>'6.Cons Profit &amp; Loss'!B38</f>
        <v>3222100.4475865364</v>
      </c>
      <c r="D109" s="115">
        <f>'6.Cons Profit &amp; Loss'!C38</f>
        <v>4105560.5737653226</v>
      </c>
      <c r="E109" s="115">
        <f>'6.Cons Profit &amp; Loss'!D38</f>
        <v>4915604.795264259</v>
      </c>
      <c r="F109" s="115">
        <f>'6.Cons Profit &amp; Loss'!E38</f>
        <v>5796389.5374787748</v>
      </c>
      <c r="G109" s="115">
        <f>'6.Cons Profit &amp; Loss'!F38</f>
        <v>6752963.7419264615</v>
      </c>
      <c r="H109" s="115">
        <f>'6.Cons Profit &amp; Loss'!G38</f>
        <v>7737100.567350328</v>
      </c>
      <c r="I109" s="115">
        <f>'6.Cons Profit &amp; Loss'!H38</f>
        <v>8802768.6659617126</v>
      </c>
    </row>
    <row r="110" spans="2:10" x14ac:dyDescent="0.35">
      <c r="B110" s="116" t="s">
        <v>1</v>
      </c>
      <c r="C110" s="249">
        <f>SUM(C109:C109)</f>
        <v>3222100.4475865364</v>
      </c>
      <c r="D110" s="249">
        <f>SUM(D109:D109)</f>
        <v>4105560.5737653226</v>
      </c>
      <c r="E110" s="249">
        <f>SUM(E109:E109)</f>
        <v>4915604.795264259</v>
      </c>
      <c r="F110" s="249">
        <f>SUM(F109:F109)</f>
        <v>5796389.5374787748</v>
      </c>
      <c r="G110" s="249">
        <f>SUM(G109:G109)</f>
        <v>6752963.7419264615</v>
      </c>
      <c r="H110" s="249">
        <f>SUM(H109:H109)</f>
        <v>7737100.567350328</v>
      </c>
      <c r="I110" s="249">
        <f>SUM(I109:I109)</f>
        <v>8802768.6659617126</v>
      </c>
    </row>
    <row r="111" spans="2:10" x14ac:dyDescent="0.35">
      <c r="B111" s="112"/>
      <c r="C111" s="112"/>
      <c r="D111" s="112"/>
      <c r="E111" s="112"/>
      <c r="F111" s="112"/>
      <c r="G111" s="112"/>
      <c r="H111" s="112"/>
      <c r="I111" s="112"/>
    </row>
    <row r="112" spans="2:10" x14ac:dyDescent="0.35">
      <c r="B112" s="125" t="s">
        <v>282</v>
      </c>
      <c r="C112" s="246">
        <f>'8.Cash Flow '!C26+'8.Cash Flow '!C27</f>
        <v>1542192.6765725845</v>
      </c>
      <c r="D112" s="246">
        <f>'8.Cash Flow '!D26+'8.Cash Flow '!D27</f>
        <v>2451309.4481451688</v>
      </c>
      <c r="E112" s="246">
        <f>'8.Cash Flow '!E26+'8.Cash Flow '!E27</f>
        <v>2451309.4481451688</v>
      </c>
      <c r="F112" s="246">
        <f>'8.Cash Flow '!F26+'8.Cash Flow '!F27</f>
        <v>1225654.7240725844</v>
      </c>
      <c r="G112" s="246">
        <f>'8.Cash Flow '!G26+'8.Cash Flow '!G27</f>
        <v>0</v>
      </c>
      <c r="H112" s="246">
        <f>'8.Cash Flow '!H26+'8.Cash Flow '!H27</f>
        <v>0</v>
      </c>
      <c r="I112" s="246">
        <f>'8.Cash Flow '!I26+'8.Cash Flow '!I27</f>
        <v>0</v>
      </c>
    </row>
    <row r="113" spans="2:18" x14ac:dyDescent="0.35">
      <c r="B113" s="112"/>
      <c r="C113" s="112"/>
      <c r="D113" s="112"/>
      <c r="E113" s="112"/>
      <c r="F113" s="112"/>
      <c r="G113" s="112"/>
      <c r="H113" s="112"/>
      <c r="I113" s="112"/>
    </row>
    <row r="114" spans="2:18" x14ac:dyDescent="0.35">
      <c r="B114" s="191" t="s">
        <v>333</v>
      </c>
      <c r="C114" s="250">
        <f>C110/C112</f>
        <v>2.0892982417394363</v>
      </c>
      <c r="D114" s="250">
        <f t="shared" ref="D114:F114" si="12">D110/D112</f>
        <v>1.6748438581966365</v>
      </c>
      <c r="E114" s="250">
        <f t="shared" si="12"/>
        <v>2.0052975355615534</v>
      </c>
      <c r="F114" s="250">
        <f t="shared" si="12"/>
        <v>4.7292189420350219</v>
      </c>
      <c r="G114" s="250"/>
      <c r="H114" s="250"/>
      <c r="I114" s="250"/>
    </row>
    <row r="116" spans="2:18" x14ac:dyDescent="0.35">
      <c r="B116" s="107" t="s">
        <v>334</v>
      </c>
      <c r="C116" s="251">
        <f>AVERAGE(C114:I114)</f>
        <v>2.624664644383162</v>
      </c>
    </row>
    <row r="118" spans="2:18" ht="29.5" customHeight="1" x14ac:dyDescent="0.35">
      <c r="B118" s="429" t="s">
        <v>425</v>
      </c>
      <c r="C118" s="429"/>
      <c r="D118" s="429"/>
      <c r="E118" s="429"/>
      <c r="F118" s="429"/>
      <c r="G118" s="429"/>
      <c r="H118" s="429"/>
      <c r="I118" s="429"/>
      <c r="J118" s="429"/>
    </row>
    <row r="120" spans="2:18" x14ac:dyDescent="0.35">
      <c r="B120" s="457" t="s">
        <v>554</v>
      </c>
      <c r="C120" s="458"/>
      <c r="D120" s="458"/>
      <c r="E120" s="458"/>
      <c r="F120" s="458"/>
      <c r="G120" s="458"/>
      <c r="H120" s="458"/>
      <c r="I120" s="458"/>
      <c r="K120" s="423"/>
      <c r="L120" s="423"/>
      <c r="M120" s="423"/>
      <c r="N120" s="423"/>
      <c r="O120" s="423"/>
      <c r="P120" s="423"/>
      <c r="Q120" s="423"/>
      <c r="R120" s="423"/>
    </row>
    <row r="121" spans="2:18" x14ac:dyDescent="0.35">
      <c r="B121" s="501" t="s">
        <v>345</v>
      </c>
      <c r="C121" s="502" t="s">
        <v>2</v>
      </c>
      <c r="D121" s="502" t="s">
        <v>3</v>
      </c>
      <c r="E121" s="502" t="s">
        <v>4</v>
      </c>
      <c r="F121" s="502" t="s">
        <v>5</v>
      </c>
      <c r="G121" s="502" t="s">
        <v>6</v>
      </c>
      <c r="H121" s="502" t="s">
        <v>165</v>
      </c>
      <c r="I121" s="502" t="s">
        <v>164</v>
      </c>
    </row>
    <row r="122" spans="2:18" hidden="1" x14ac:dyDescent="0.35">
      <c r="B122" s="252" t="str">
        <f>'6.Cons Profit &amp; Loss'!A6</f>
        <v>Faclitiy 1 - Trading Activity</v>
      </c>
      <c r="C122" s="253">
        <f>'6.Cons Profit &amp; Loss'!B6*(1+$M$123)</f>
        <v>74881225.025168613</v>
      </c>
      <c r="D122" s="253">
        <f>'6.Cons Profit &amp; Loss'!C6*(1+$M$123)</f>
        <v>88072385.482828051</v>
      </c>
      <c r="E122" s="253">
        <f>'6.Cons Profit &amp; Loss'!D6*(1+$M$123)</f>
        <v>100898039.72676389</v>
      </c>
      <c r="F122" s="253">
        <f>'6.Cons Profit &amp; Loss'!E6*(1+$M$123)</f>
        <v>114786078.43138632</v>
      </c>
      <c r="G122" s="253">
        <f>'6.Cons Profit &amp; Loss'!F6*(1+$M$123)</f>
        <v>129810675.90715399</v>
      </c>
      <c r="H122" s="253">
        <f>'6.Cons Profit &amp; Loss'!G6*(1+$M$123)</f>
        <v>146050767.93442005</v>
      </c>
      <c r="I122" s="253">
        <f>'6.Cons Profit &amp; Loss'!H6*(1+$M$123)</f>
        <v>163590342.47464481</v>
      </c>
    </row>
    <row r="123" spans="2:18" hidden="1" x14ac:dyDescent="0.35">
      <c r="B123" s="252" t="str">
        <f>'6.Cons Profit &amp; Loss'!A7</f>
        <v>Faclitiy 2 - Processing Unit- Cleaning, Grading</v>
      </c>
      <c r="C123" s="253">
        <f>'6.Cons Profit &amp; Loss'!B7*(1+$M$123)</f>
        <v>0</v>
      </c>
      <c r="D123" s="253">
        <f>'6.Cons Profit &amp; Loss'!C7*(1+$M$123)</f>
        <v>0</v>
      </c>
      <c r="E123" s="253">
        <f>'6.Cons Profit &amp; Loss'!D7*(1+$M$123)</f>
        <v>0</v>
      </c>
      <c r="F123" s="253">
        <f>'6.Cons Profit &amp; Loss'!E7*(1+$M$123)</f>
        <v>0</v>
      </c>
      <c r="G123" s="253">
        <f>'6.Cons Profit &amp; Loss'!F7*(1+$M$123)</f>
        <v>0</v>
      </c>
      <c r="H123" s="253">
        <f>'6.Cons Profit &amp; Loss'!G7*(1+$M$123)</f>
        <v>0</v>
      </c>
      <c r="I123" s="253">
        <f>'6.Cons Profit &amp; Loss'!H7*(1+$M$123)</f>
        <v>0</v>
      </c>
      <c r="L123" s="233" t="s">
        <v>364</v>
      </c>
      <c r="M123" s="254">
        <v>0.03</v>
      </c>
    </row>
    <row r="124" spans="2:18" hidden="1" x14ac:dyDescent="0.35">
      <c r="B124" s="252" t="str">
        <f>'6.Cons Profit &amp; Loss'!A8</f>
        <v>Faclitiy 3 - Warehouse</v>
      </c>
      <c r="C124" s="253">
        <f>'6.Cons Profit &amp; Loss'!B8*(1+$M$123)</f>
        <v>692160</v>
      </c>
      <c r="D124" s="253">
        <f>'6.Cons Profit &amp; Loss'!C8*(1+$M$123)</f>
        <v>772191.00000000023</v>
      </c>
      <c r="E124" s="253">
        <f>'6.Cons Profit &amp; Loss'!D8*(1+$M$123)</f>
        <v>858494.7000000003</v>
      </c>
      <c r="F124" s="253">
        <f>'6.Cons Profit &amp; Loss'!E8*(1+$M$123)</f>
        <v>951498.29250000033</v>
      </c>
      <c r="G124" s="253">
        <f>'6.Cons Profit &amp; Loss'!F8*(1+$M$123)</f>
        <v>1051656.0075000005</v>
      </c>
      <c r="H124" s="253">
        <f>'6.Cons Profit &amp; Loss'!G8*(1+$M$123)</f>
        <v>1104238.8078750006</v>
      </c>
      <c r="I124" s="253">
        <f>'6.Cons Profit &amp; Loss'!H8*(1+$M$123)</f>
        <v>1159450.7482687507</v>
      </c>
      <c r="L124" s="233" t="s">
        <v>365</v>
      </c>
      <c r="M124" s="254">
        <v>0.03</v>
      </c>
    </row>
    <row r="125" spans="2:18" hidden="1" x14ac:dyDescent="0.35">
      <c r="B125" s="252" t="str">
        <f>'6.Cons Profit &amp; Loss'!A9</f>
        <v xml:space="preserve">Faclitiy 4 - Custom Hiring </v>
      </c>
      <c r="C125" s="253">
        <f>'6.Cons Profit &amp; Loss'!B9*(1+$M$123)</f>
        <v>0</v>
      </c>
      <c r="D125" s="253">
        <f>'6.Cons Profit &amp; Loss'!C9*(1+$M$123)</f>
        <v>0</v>
      </c>
      <c r="E125" s="253">
        <f>'6.Cons Profit &amp; Loss'!D9*(1+$M$123)</f>
        <v>0</v>
      </c>
      <c r="F125" s="253">
        <f>'6.Cons Profit &amp; Loss'!E9*(1+$M$123)</f>
        <v>0</v>
      </c>
      <c r="G125" s="253">
        <f>'6.Cons Profit &amp; Loss'!F9*(1+$M$123)</f>
        <v>0</v>
      </c>
      <c r="H125" s="253">
        <f>'6.Cons Profit &amp; Loss'!G9*(1+$M$123)</f>
        <v>0</v>
      </c>
      <c r="I125" s="253">
        <f>'6.Cons Profit &amp; Loss'!H9*(1+$M$123)</f>
        <v>0</v>
      </c>
    </row>
    <row r="126" spans="2:18" hidden="1" x14ac:dyDescent="0.35">
      <c r="B126" s="252" t="str">
        <f>'6.Cons Profit &amp; Loss'!A10</f>
        <v>Faclitiy 5 - Agri Input Centre</v>
      </c>
      <c r="C126" s="253">
        <f>'6.Cons Profit &amp; Loss'!B10*(1+$M$123)</f>
        <v>0</v>
      </c>
      <c r="D126" s="253">
        <f>'6.Cons Profit &amp; Loss'!C10*(1+$M$123)</f>
        <v>0</v>
      </c>
      <c r="E126" s="253">
        <f>'6.Cons Profit &amp; Loss'!D10*(1+$M$123)</f>
        <v>0</v>
      </c>
      <c r="F126" s="253">
        <f>'6.Cons Profit &amp; Loss'!E10*(1+$M$123)</f>
        <v>0</v>
      </c>
      <c r="G126" s="253">
        <f>'6.Cons Profit &amp; Loss'!F10*(1+$M$123)</f>
        <v>0</v>
      </c>
      <c r="H126" s="253">
        <f>'6.Cons Profit &amp; Loss'!G10*(1+$M$123)</f>
        <v>0</v>
      </c>
      <c r="I126" s="253">
        <f>'6.Cons Profit &amp; Loss'!H10*(1+$M$123)</f>
        <v>0</v>
      </c>
    </row>
    <row r="127" spans="2:18" hidden="1" x14ac:dyDescent="0.35">
      <c r="B127" s="252" t="str">
        <f>'6.Cons Profit &amp; Loss'!A11</f>
        <v>Facility 6 - Processing Unit - Horti Commodity</v>
      </c>
      <c r="C127" s="253">
        <f>'6.Cons Profit &amp; Loss'!B11*(1+$M$123)</f>
        <v>0</v>
      </c>
      <c r="D127" s="253">
        <f>'6.Cons Profit &amp; Loss'!C11*(1+$M$123)</f>
        <v>0</v>
      </c>
      <c r="E127" s="253">
        <f>'6.Cons Profit &amp; Loss'!D11*(1+$M$123)</f>
        <v>0</v>
      </c>
      <c r="F127" s="253">
        <f>'6.Cons Profit &amp; Loss'!E11*(1+$M$123)</f>
        <v>0</v>
      </c>
      <c r="G127" s="253">
        <f>'6.Cons Profit &amp; Loss'!F11*(1+$M$123)</f>
        <v>0</v>
      </c>
      <c r="H127" s="253">
        <f>'6.Cons Profit &amp; Loss'!G11*(1+$M$123)</f>
        <v>0</v>
      </c>
      <c r="I127" s="253">
        <f>'6.Cons Profit &amp; Loss'!H11*(1+$M$123)</f>
        <v>0</v>
      </c>
    </row>
    <row r="128" spans="2:18" hidden="1" x14ac:dyDescent="0.35">
      <c r="B128" s="252">
        <f>'6.Cons Profit &amp; Loss'!A12</f>
        <v>0</v>
      </c>
      <c r="C128" s="253">
        <f>'6.Cons Profit &amp; Loss'!B12*(1+$M$123)</f>
        <v>0</v>
      </c>
      <c r="D128" s="253">
        <f>'6.Cons Profit &amp; Loss'!C12*(1+$M$123)</f>
        <v>0</v>
      </c>
      <c r="E128" s="253">
        <f>'6.Cons Profit &amp; Loss'!D12*(1+$M$123)</f>
        <v>0</v>
      </c>
      <c r="F128" s="253">
        <f>'6.Cons Profit &amp; Loss'!E12*(1+$M$123)</f>
        <v>0</v>
      </c>
      <c r="G128" s="253">
        <f>'6.Cons Profit &amp; Loss'!F12*(1+$M$123)</f>
        <v>0</v>
      </c>
      <c r="H128" s="253">
        <f>'6.Cons Profit &amp; Loss'!G12*(1+$M$123)</f>
        <v>0</v>
      </c>
      <c r="I128" s="253">
        <f>'6.Cons Profit &amp; Loss'!H12*(1+$M$123)</f>
        <v>0</v>
      </c>
    </row>
    <row r="129" spans="2:9" hidden="1" x14ac:dyDescent="0.35">
      <c r="B129" s="252" t="s">
        <v>346</v>
      </c>
      <c r="C129" s="253">
        <f>SUM(C122:C128)</f>
        <v>75573385.025168613</v>
      </c>
      <c r="D129" s="253">
        <f t="shared" ref="D129:I129" si="13">SUM(D122:D128)</f>
        <v>88844576.482828051</v>
      </c>
      <c r="E129" s="253">
        <f t="shared" si="13"/>
        <v>101756534.42676389</v>
      </c>
      <c r="F129" s="253">
        <f t="shared" si="13"/>
        <v>115737576.72388633</v>
      </c>
      <c r="G129" s="253">
        <f t="shared" si="13"/>
        <v>130862331.914654</v>
      </c>
      <c r="H129" s="253">
        <f t="shared" si="13"/>
        <v>147155006.74229506</v>
      </c>
      <c r="I129" s="253">
        <f t="shared" si="13"/>
        <v>164749793.22291356</v>
      </c>
    </row>
    <row r="130" spans="2:9" hidden="1" x14ac:dyDescent="0.35">
      <c r="B130" s="252" t="s">
        <v>347</v>
      </c>
      <c r="C130" s="253"/>
      <c r="D130" s="253"/>
      <c r="E130" s="253"/>
      <c r="F130" s="253"/>
      <c r="G130" s="253"/>
      <c r="H130" s="253"/>
      <c r="I130" s="253"/>
    </row>
    <row r="131" spans="2:9" hidden="1" x14ac:dyDescent="0.35">
      <c r="B131" s="252" t="s">
        <v>348</v>
      </c>
      <c r="C131" s="253">
        <f>'6.Cons Profit &amp; Loss'!B34</f>
        <v>2150800</v>
      </c>
      <c r="D131" s="253">
        <f>'6.Cons Profit &amp; Loss'!C34</f>
        <v>2258340</v>
      </c>
      <c r="E131" s="253">
        <f>'6.Cons Profit &amp; Loss'!D34</f>
        <v>2371257</v>
      </c>
      <c r="F131" s="253">
        <f>'6.Cons Profit &amp; Loss'!E34</f>
        <v>2489819.8500000006</v>
      </c>
      <c r="G131" s="253">
        <f>'6.Cons Profit &amp; Loss'!F34</f>
        <v>2614310.8425000007</v>
      </c>
      <c r="H131" s="253">
        <f>'6.Cons Profit &amp; Loss'!G34</f>
        <v>2745026.3846250009</v>
      </c>
      <c r="I131" s="253">
        <f>'6.Cons Profit &amp; Loss'!H34</f>
        <v>2882277.7038562512</v>
      </c>
    </row>
    <row r="132" spans="2:9" hidden="1" x14ac:dyDescent="0.35">
      <c r="B132" s="252" t="s">
        <v>310</v>
      </c>
      <c r="C132" s="253">
        <f>'6.Cons Profit &amp; Loss'!B23*(1+M123)</f>
        <v>70039297.564154491</v>
      </c>
      <c r="D132" s="253">
        <f>'6.Cons Profit &amp; Loss'!C23*(1+N123)</f>
        <v>79892969.797912389</v>
      </c>
      <c r="E132" s="253">
        <f>'6.Cons Profit &amp; Loss'!D23*(1+O123)</f>
        <v>91505890.075380296</v>
      </c>
      <c r="F132" s="253">
        <f>'6.Cons Profit &amp; Loss'!E23*(1+P123)</f>
        <v>104080369.95610018</v>
      </c>
      <c r="G132" s="253">
        <f>'6.Cons Profit &amp; Loss'!F23*(1+Q123)</f>
        <v>117683533.09970362</v>
      </c>
      <c r="H132" s="253">
        <f>'6.Cons Profit &amp; Loss'!G23*(1+R123)</f>
        <v>132386811.63277714</v>
      </c>
      <c r="I132" s="253">
        <f>'6.Cons Profit &amp; Loss'!H23*(1+S123)</f>
        <v>148266209.18640876</v>
      </c>
    </row>
    <row r="133" spans="2:9" hidden="1" x14ac:dyDescent="0.35">
      <c r="B133" s="252" t="s">
        <v>349</v>
      </c>
      <c r="C133" s="253">
        <f t="shared" ref="C133:I133" si="14">SUM(C131:C132)</f>
        <v>72190097.564154491</v>
      </c>
      <c r="D133" s="253">
        <f t="shared" si="14"/>
        <v>82151309.797912389</v>
      </c>
      <c r="E133" s="253">
        <f t="shared" si="14"/>
        <v>93877147.075380296</v>
      </c>
      <c r="F133" s="253">
        <f t="shared" si="14"/>
        <v>106570189.80610017</v>
      </c>
      <c r="G133" s="253">
        <f t="shared" si="14"/>
        <v>120297843.94220363</v>
      </c>
      <c r="H133" s="253">
        <f t="shared" si="14"/>
        <v>135131838.01740214</v>
      </c>
      <c r="I133" s="253">
        <f t="shared" si="14"/>
        <v>151148486.89026502</v>
      </c>
    </row>
    <row r="134" spans="2:9" x14ac:dyDescent="0.35">
      <c r="B134" s="255" t="s">
        <v>350</v>
      </c>
      <c r="C134" s="255">
        <f t="shared" ref="C134:I134" si="15">+C129-C133</f>
        <v>3383287.4610141218</v>
      </c>
      <c r="D134" s="255">
        <f t="shared" si="15"/>
        <v>6693266.6849156618</v>
      </c>
      <c r="E134" s="255">
        <f t="shared" si="15"/>
        <v>7879387.3513835967</v>
      </c>
      <c r="F134" s="255">
        <f t="shared" si="15"/>
        <v>9167386.9177861512</v>
      </c>
      <c r="G134" s="255">
        <f t="shared" si="15"/>
        <v>10564487.972450376</v>
      </c>
      <c r="H134" s="255">
        <f t="shared" si="15"/>
        <v>12023168.724892914</v>
      </c>
      <c r="I134" s="255">
        <f t="shared" si="15"/>
        <v>13601306.332648546</v>
      </c>
    </row>
    <row r="135" spans="2:9" hidden="1" x14ac:dyDescent="0.35">
      <c r="B135" s="256"/>
      <c r="C135" s="257"/>
      <c r="D135" s="257"/>
      <c r="E135" s="257"/>
      <c r="F135" s="257"/>
      <c r="G135" s="257"/>
      <c r="H135" s="257"/>
      <c r="I135" s="257"/>
    </row>
    <row r="136" spans="2:9" x14ac:dyDescent="0.35">
      <c r="B136" s="501" t="s">
        <v>351</v>
      </c>
      <c r="C136" s="502" t="s">
        <v>2</v>
      </c>
      <c r="D136" s="502" t="s">
        <v>3</v>
      </c>
      <c r="E136" s="502" t="s">
        <v>4</v>
      </c>
      <c r="F136" s="502" t="s">
        <v>5</v>
      </c>
      <c r="G136" s="502" t="s">
        <v>6</v>
      </c>
      <c r="H136" s="502" t="s">
        <v>165</v>
      </c>
      <c r="I136" s="502" t="s">
        <v>164</v>
      </c>
    </row>
    <row r="137" spans="2:9" hidden="1" x14ac:dyDescent="0.35">
      <c r="B137" s="252" t="str">
        <f t="shared" ref="B137:B143" si="16">B122</f>
        <v>Faclitiy 1 - Trading Activity</v>
      </c>
      <c r="C137" s="258">
        <f>'6.Cons Profit &amp; Loss'!B6</f>
        <v>72700218.471037492</v>
      </c>
      <c r="D137" s="258">
        <f>'6.Cons Profit &amp; Loss'!C6</f>
        <v>85507170.371677712</v>
      </c>
      <c r="E137" s="258">
        <f>'6.Cons Profit &amp; Loss'!D6</f>
        <v>97959261.870644554</v>
      </c>
      <c r="F137" s="258">
        <f>'6.Cons Profit &amp; Loss'!E6</f>
        <v>111442794.59357895</v>
      </c>
      <c r="G137" s="258">
        <f>'6.Cons Profit &amp; Loss'!F6</f>
        <v>126029782.43413009</v>
      </c>
      <c r="H137" s="258">
        <f>'6.Cons Profit &amp; Loss'!G6</f>
        <v>141796862.07225248</v>
      </c>
      <c r="I137" s="258">
        <f>'6.Cons Profit &amp; Loss'!H6</f>
        <v>158825575.21810174</v>
      </c>
    </row>
    <row r="138" spans="2:9" hidden="1" x14ac:dyDescent="0.35">
      <c r="B138" s="252" t="str">
        <f t="shared" si="16"/>
        <v>Faclitiy 2 - Processing Unit- Cleaning, Grading</v>
      </c>
      <c r="C138" s="258">
        <f>'6.Cons Profit &amp; Loss'!B7</f>
        <v>0</v>
      </c>
      <c r="D138" s="258">
        <f>'6.Cons Profit &amp; Loss'!C7</f>
        <v>0</v>
      </c>
      <c r="E138" s="258">
        <f>'6.Cons Profit &amp; Loss'!D7</f>
        <v>0</v>
      </c>
      <c r="F138" s="258">
        <f>'6.Cons Profit &amp; Loss'!E7</f>
        <v>0</v>
      </c>
      <c r="G138" s="258">
        <f>'6.Cons Profit &amp; Loss'!F7</f>
        <v>0</v>
      </c>
      <c r="H138" s="258">
        <f>'6.Cons Profit &amp; Loss'!G7</f>
        <v>0</v>
      </c>
      <c r="I138" s="258">
        <f>'6.Cons Profit &amp; Loss'!H7</f>
        <v>0</v>
      </c>
    </row>
    <row r="139" spans="2:9" hidden="1" x14ac:dyDescent="0.35">
      <c r="B139" s="252" t="str">
        <f t="shared" si="16"/>
        <v>Faclitiy 3 - Warehouse</v>
      </c>
      <c r="C139" s="258">
        <f>'6.Cons Profit &amp; Loss'!B8</f>
        <v>672000</v>
      </c>
      <c r="D139" s="258">
        <f>'6.Cons Profit &amp; Loss'!C8</f>
        <v>749700.00000000023</v>
      </c>
      <c r="E139" s="258">
        <f>'6.Cons Profit &amp; Loss'!D8</f>
        <v>833490.00000000023</v>
      </c>
      <c r="F139" s="258">
        <f>'6.Cons Profit &amp; Loss'!E8</f>
        <v>923784.75000000035</v>
      </c>
      <c r="G139" s="258">
        <f>'6.Cons Profit &amp; Loss'!F8</f>
        <v>1021025.2500000005</v>
      </c>
      <c r="H139" s="258">
        <f>'6.Cons Profit &amp; Loss'!G8</f>
        <v>1072076.5125000007</v>
      </c>
      <c r="I139" s="258">
        <f>'6.Cons Profit &amp; Loss'!H8</f>
        <v>1125680.3381250007</v>
      </c>
    </row>
    <row r="140" spans="2:9" hidden="1" x14ac:dyDescent="0.35">
      <c r="B140" s="252" t="str">
        <f t="shared" si="16"/>
        <v xml:space="preserve">Faclitiy 4 - Custom Hiring </v>
      </c>
      <c r="C140" s="258">
        <f>'6.Cons Profit &amp; Loss'!B9</f>
        <v>0</v>
      </c>
      <c r="D140" s="258">
        <f>'6.Cons Profit &amp; Loss'!C9</f>
        <v>0</v>
      </c>
      <c r="E140" s="258">
        <f>'6.Cons Profit &amp; Loss'!D9</f>
        <v>0</v>
      </c>
      <c r="F140" s="258">
        <f>'6.Cons Profit &amp; Loss'!E9</f>
        <v>0</v>
      </c>
      <c r="G140" s="258">
        <f>'6.Cons Profit &amp; Loss'!F9</f>
        <v>0</v>
      </c>
      <c r="H140" s="258">
        <f>'6.Cons Profit &amp; Loss'!G9</f>
        <v>0</v>
      </c>
      <c r="I140" s="258">
        <f>'6.Cons Profit &amp; Loss'!H9</f>
        <v>0</v>
      </c>
    </row>
    <row r="141" spans="2:9" hidden="1" x14ac:dyDescent="0.35">
      <c r="B141" s="252" t="str">
        <f t="shared" si="16"/>
        <v>Faclitiy 5 - Agri Input Centre</v>
      </c>
      <c r="C141" s="258">
        <f>'6.Cons Profit &amp; Loss'!B10</f>
        <v>0</v>
      </c>
      <c r="D141" s="258">
        <f>'6.Cons Profit &amp; Loss'!C10</f>
        <v>0</v>
      </c>
      <c r="E141" s="258">
        <f>'6.Cons Profit &amp; Loss'!D10</f>
        <v>0</v>
      </c>
      <c r="F141" s="258">
        <f>'6.Cons Profit &amp; Loss'!E10</f>
        <v>0</v>
      </c>
      <c r="G141" s="258">
        <f>'6.Cons Profit &amp; Loss'!F10</f>
        <v>0</v>
      </c>
      <c r="H141" s="258">
        <f>'6.Cons Profit &amp; Loss'!G10</f>
        <v>0</v>
      </c>
      <c r="I141" s="258">
        <f>'6.Cons Profit &amp; Loss'!H10</f>
        <v>0</v>
      </c>
    </row>
    <row r="142" spans="2:9" hidden="1" x14ac:dyDescent="0.35">
      <c r="B142" s="252" t="str">
        <f t="shared" si="16"/>
        <v>Facility 6 - Processing Unit - Horti Commodity</v>
      </c>
      <c r="C142" s="258">
        <f>'6.Cons Profit &amp; Loss'!B11</f>
        <v>0</v>
      </c>
      <c r="D142" s="258">
        <f>'6.Cons Profit &amp; Loss'!C11</f>
        <v>0</v>
      </c>
      <c r="E142" s="258">
        <f>'6.Cons Profit &amp; Loss'!D11</f>
        <v>0</v>
      </c>
      <c r="F142" s="258">
        <f>'6.Cons Profit &amp; Loss'!E11</f>
        <v>0</v>
      </c>
      <c r="G142" s="258">
        <f>'6.Cons Profit &amp; Loss'!F11</f>
        <v>0</v>
      </c>
      <c r="H142" s="258">
        <f>'6.Cons Profit &amp; Loss'!G11</f>
        <v>0</v>
      </c>
      <c r="I142" s="258">
        <f>'6.Cons Profit &amp; Loss'!H11</f>
        <v>0</v>
      </c>
    </row>
    <row r="143" spans="2:9" hidden="1" x14ac:dyDescent="0.35">
      <c r="B143" s="252">
        <f t="shared" si="16"/>
        <v>0</v>
      </c>
      <c r="C143" s="258">
        <f>'6.Cons Profit &amp; Loss'!B12</f>
        <v>0</v>
      </c>
      <c r="D143" s="258">
        <f>'6.Cons Profit &amp; Loss'!C12</f>
        <v>0</v>
      </c>
      <c r="E143" s="258">
        <f>'6.Cons Profit &amp; Loss'!D12</f>
        <v>0</v>
      </c>
      <c r="F143" s="258">
        <f>'6.Cons Profit &amp; Loss'!E12</f>
        <v>0</v>
      </c>
      <c r="G143" s="258">
        <f>'6.Cons Profit &amp; Loss'!F12</f>
        <v>0</v>
      </c>
      <c r="H143" s="258">
        <f>'6.Cons Profit &amp; Loss'!G12</f>
        <v>0</v>
      </c>
      <c r="I143" s="258">
        <f>'6.Cons Profit &amp; Loss'!H12</f>
        <v>0</v>
      </c>
    </row>
    <row r="144" spans="2:9" hidden="1" x14ac:dyDescent="0.35">
      <c r="B144" s="252" t="s">
        <v>346</v>
      </c>
      <c r="C144" s="258">
        <f>SUM(C137:C143)</f>
        <v>73372218.471037492</v>
      </c>
      <c r="D144" s="258">
        <f t="shared" ref="D144:I144" si="17">SUM(D137:D143)</f>
        <v>86256870.371677712</v>
      </c>
      <c r="E144" s="258">
        <f t="shared" si="17"/>
        <v>98792751.870644554</v>
      </c>
      <c r="F144" s="258">
        <f t="shared" si="17"/>
        <v>112366579.34357895</v>
      </c>
      <c r="G144" s="258">
        <f t="shared" si="17"/>
        <v>127050807.68413009</v>
      </c>
      <c r="H144" s="258">
        <f t="shared" si="17"/>
        <v>142868938.58475247</v>
      </c>
      <c r="I144" s="258">
        <f t="shared" si="17"/>
        <v>159951255.55622673</v>
      </c>
    </row>
    <row r="145" spans="2:15" hidden="1" x14ac:dyDescent="0.35">
      <c r="B145" s="252" t="s">
        <v>347</v>
      </c>
      <c r="C145" s="259"/>
      <c r="D145" s="258"/>
      <c r="E145" s="258"/>
      <c r="F145" s="258"/>
      <c r="G145" s="258"/>
      <c r="H145" s="258"/>
      <c r="I145" s="258"/>
    </row>
    <row r="146" spans="2:15" hidden="1" x14ac:dyDescent="0.35">
      <c r="B146" s="252" t="s">
        <v>348</v>
      </c>
      <c r="C146" s="260">
        <f>'6.Cons Profit &amp; Loss'!B34</f>
        <v>2150800</v>
      </c>
      <c r="D146" s="260">
        <f>'6.Cons Profit &amp; Loss'!C34</f>
        <v>2258340</v>
      </c>
      <c r="E146" s="260">
        <f>'6.Cons Profit &amp; Loss'!D34</f>
        <v>2371257</v>
      </c>
      <c r="F146" s="260">
        <f>'6.Cons Profit &amp; Loss'!E34</f>
        <v>2489819.8500000006</v>
      </c>
      <c r="G146" s="260">
        <f>'6.Cons Profit &amp; Loss'!F34</f>
        <v>2614310.8425000007</v>
      </c>
      <c r="H146" s="260">
        <f>'6.Cons Profit &amp; Loss'!G34</f>
        <v>2745026.3846250009</v>
      </c>
      <c r="I146" s="260">
        <f>'6.Cons Profit &amp; Loss'!H34</f>
        <v>2882277.7038562512</v>
      </c>
    </row>
    <row r="147" spans="2:15" hidden="1" x14ac:dyDescent="0.35">
      <c r="B147" s="252" t="s">
        <v>310</v>
      </c>
      <c r="C147" s="260">
        <f>'6.Cons Profit &amp; Loss'!B23*(1+$M$124)</f>
        <v>70039297.564154491</v>
      </c>
      <c r="D147" s="260">
        <f>'6.Cons Profit &amp; Loss'!C23*(1+$M$124)</f>
        <v>82289758.891849756</v>
      </c>
      <c r="E147" s="260">
        <f>'6.Cons Profit &amp; Loss'!D23*(1+$M$124)</f>
        <v>94251066.777641714</v>
      </c>
      <c r="F147" s="260">
        <f>'6.Cons Profit &amp; Loss'!E23*(1+$M$124)</f>
        <v>107202781.0547832</v>
      </c>
      <c r="G147" s="260">
        <f>'6.Cons Profit &amp; Loss'!F23*(1+$M$124)</f>
        <v>121214039.09269473</v>
      </c>
      <c r="H147" s="260">
        <f>'6.Cons Profit &amp; Loss'!G23*(1+$M$124)</f>
        <v>136358415.98176047</v>
      </c>
      <c r="I147" s="260">
        <f>'6.Cons Profit &amp; Loss'!H23*(1+$M$124)</f>
        <v>152714195.46200103</v>
      </c>
    </row>
    <row r="148" spans="2:15" hidden="1" x14ac:dyDescent="0.35">
      <c r="B148" s="252" t="s">
        <v>349</v>
      </c>
      <c r="C148" s="260">
        <f t="shared" ref="C148:I148" si="18">SUM(C146:C147)</f>
        <v>72190097.564154491</v>
      </c>
      <c r="D148" s="260">
        <f t="shared" si="18"/>
        <v>84548098.891849756</v>
      </c>
      <c r="E148" s="260">
        <f t="shared" si="18"/>
        <v>96622323.777641714</v>
      </c>
      <c r="F148" s="260">
        <f t="shared" si="18"/>
        <v>109692600.90478319</v>
      </c>
      <c r="G148" s="260">
        <f t="shared" si="18"/>
        <v>123828349.93519473</v>
      </c>
      <c r="H148" s="260">
        <f t="shared" si="18"/>
        <v>139103442.36638546</v>
      </c>
      <c r="I148" s="260">
        <f t="shared" si="18"/>
        <v>155596473.16585729</v>
      </c>
    </row>
    <row r="149" spans="2:15" x14ac:dyDescent="0.35">
      <c r="B149" s="255" t="s">
        <v>350</v>
      </c>
      <c r="C149" s="255">
        <f t="shared" ref="C149:I149" si="19">+C144-C148</f>
        <v>1182120.9068830013</v>
      </c>
      <c r="D149" s="255">
        <f t="shared" si="19"/>
        <v>1708771.4798279554</v>
      </c>
      <c r="E149" s="255">
        <f t="shared" si="19"/>
        <v>2170428.0930028409</v>
      </c>
      <c r="F149" s="255">
        <f t="shared" si="19"/>
        <v>2673978.4387957603</v>
      </c>
      <c r="G149" s="255">
        <f t="shared" si="19"/>
        <v>3222457.7489353567</v>
      </c>
      <c r="H149" s="255">
        <f t="shared" si="19"/>
        <v>3765496.2183670104</v>
      </c>
      <c r="I149" s="255">
        <f t="shared" si="19"/>
        <v>4354782.3903694451</v>
      </c>
      <c r="N149" s="108"/>
      <c r="O149" s="109"/>
    </row>
    <row r="150" spans="2:15" hidden="1" x14ac:dyDescent="0.35">
      <c r="B150" s="256"/>
      <c r="C150" s="257"/>
      <c r="D150" s="257"/>
      <c r="E150" s="257"/>
      <c r="F150" s="257"/>
      <c r="G150" s="257"/>
      <c r="H150" s="257"/>
      <c r="I150" s="257"/>
    </row>
    <row r="151" spans="2:15" x14ac:dyDescent="0.35">
      <c r="B151" s="501" t="s">
        <v>352</v>
      </c>
      <c r="C151" s="502" t="s">
        <v>2</v>
      </c>
      <c r="D151" s="502" t="s">
        <v>3</v>
      </c>
      <c r="E151" s="502" t="s">
        <v>4</v>
      </c>
      <c r="F151" s="502" t="s">
        <v>5</v>
      </c>
      <c r="G151" s="502" t="s">
        <v>6</v>
      </c>
      <c r="H151" s="502" t="s">
        <v>165</v>
      </c>
      <c r="I151" s="502" t="s">
        <v>164</v>
      </c>
    </row>
    <row r="152" spans="2:15" hidden="1" x14ac:dyDescent="0.35">
      <c r="B152" s="252" t="str">
        <f t="shared" ref="B152:B158" si="20">B137</f>
        <v>Faclitiy 1 - Trading Activity</v>
      </c>
      <c r="C152" s="253">
        <f>'6.Cons Profit &amp; Loss'!B6*(1-$M$123)</f>
        <v>70519211.916906372</v>
      </c>
      <c r="D152" s="253">
        <f>'6.Cons Profit &amp; Loss'!C6*(1-$M$123)</f>
        <v>82941955.260527372</v>
      </c>
      <c r="E152" s="253">
        <f>'6.Cons Profit &amp; Loss'!D6*(1-$M$123)</f>
        <v>95020484.01452522</v>
      </c>
      <c r="F152" s="253">
        <f>'6.Cons Profit &amp; Loss'!E6*(1-$M$123)</f>
        <v>108099510.75577158</v>
      </c>
      <c r="G152" s="253">
        <f>'6.Cons Profit &amp; Loss'!F6*(1-$M$123)</f>
        <v>122248888.96110618</v>
      </c>
      <c r="H152" s="253">
        <f>'6.Cons Profit &amp; Loss'!G6*(1-$M$123)</f>
        <v>137542956.21008492</v>
      </c>
      <c r="I152" s="253">
        <f>'6.Cons Profit &amp; Loss'!H6*(1-$M$123)</f>
        <v>154060807.96155867</v>
      </c>
    </row>
    <row r="153" spans="2:15" hidden="1" x14ac:dyDescent="0.35">
      <c r="B153" s="252" t="str">
        <f t="shared" si="20"/>
        <v>Faclitiy 2 - Processing Unit- Cleaning, Grading</v>
      </c>
      <c r="C153" s="253">
        <f>'6.Cons Profit &amp; Loss'!B7*(1-$M$123)</f>
        <v>0</v>
      </c>
      <c r="D153" s="253">
        <f>'6.Cons Profit &amp; Loss'!C7*(1-$M$123)</f>
        <v>0</v>
      </c>
      <c r="E153" s="253">
        <f>'6.Cons Profit &amp; Loss'!D7*(1-$M$123)</f>
        <v>0</v>
      </c>
      <c r="F153" s="253">
        <f>'6.Cons Profit &amp; Loss'!E7*(1-$M$123)</f>
        <v>0</v>
      </c>
      <c r="G153" s="253">
        <f>'6.Cons Profit &amp; Loss'!F7*(1-$M$123)</f>
        <v>0</v>
      </c>
      <c r="H153" s="253">
        <f>'6.Cons Profit &amp; Loss'!G7*(1-$M$123)</f>
        <v>0</v>
      </c>
      <c r="I153" s="253">
        <f>'6.Cons Profit &amp; Loss'!H7*(1-$M$123)</f>
        <v>0</v>
      </c>
    </row>
    <row r="154" spans="2:15" hidden="1" x14ac:dyDescent="0.35">
      <c r="B154" s="252" t="str">
        <f t="shared" si="20"/>
        <v>Faclitiy 3 - Warehouse</v>
      </c>
      <c r="C154" s="253">
        <f>'6.Cons Profit &amp; Loss'!B8*(1-$M$123)</f>
        <v>651840</v>
      </c>
      <c r="D154" s="253">
        <f>'6.Cons Profit &amp; Loss'!C8*(1-$M$123)</f>
        <v>727209.00000000023</v>
      </c>
      <c r="E154" s="253">
        <f>'6.Cons Profit &amp; Loss'!D8*(1-$M$123)</f>
        <v>808485.30000000016</v>
      </c>
      <c r="F154" s="253">
        <f>'6.Cons Profit &amp; Loss'!E8*(1-$M$123)</f>
        <v>896071.20750000037</v>
      </c>
      <c r="G154" s="253">
        <f>'6.Cons Profit &amp; Loss'!F8*(1-$M$123)</f>
        <v>990394.4925000004</v>
      </c>
      <c r="H154" s="253">
        <f>'6.Cons Profit &amp; Loss'!G8*(1-$M$123)</f>
        <v>1039914.2171250005</v>
      </c>
      <c r="I154" s="253">
        <f>'6.Cons Profit &amp; Loss'!H8*(1-$M$123)</f>
        <v>1091909.9279812507</v>
      </c>
    </row>
    <row r="155" spans="2:15" hidden="1" x14ac:dyDescent="0.35">
      <c r="B155" s="252" t="str">
        <f t="shared" si="20"/>
        <v xml:space="preserve">Faclitiy 4 - Custom Hiring </v>
      </c>
      <c r="C155" s="253">
        <f>'6.Cons Profit &amp; Loss'!B9*(1-$M$123)</f>
        <v>0</v>
      </c>
      <c r="D155" s="253">
        <f>'6.Cons Profit &amp; Loss'!C9*(1-$M$123)</f>
        <v>0</v>
      </c>
      <c r="E155" s="253">
        <f>'6.Cons Profit &amp; Loss'!D9*(1-$M$123)</f>
        <v>0</v>
      </c>
      <c r="F155" s="253">
        <f>'6.Cons Profit &amp; Loss'!E9*(1-$M$123)</f>
        <v>0</v>
      </c>
      <c r="G155" s="253">
        <f>'6.Cons Profit &amp; Loss'!F9*(1-$M$123)</f>
        <v>0</v>
      </c>
      <c r="H155" s="253">
        <f>'6.Cons Profit &amp; Loss'!G9*(1-$M$123)</f>
        <v>0</v>
      </c>
      <c r="I155" s="253">
        <f>'6.Cons Profit &amp; Loss'!H9*(1-$M$123)</f>
        <v>0</v>
      </c>
    </row>
    <row r="156" spans="2:15" hidden="1" x14ac:dyDescent="0.35">
      <c r="B156" s="252" t="str">
        <f t="shared" si="20"/>
        <v>Faclitiy 5 - Agri Input Centre</v>
      </c>
      <c r="C156" s="253">
        <f>'6.Cons Profit &amp; Loss'!B10*(1-$M$123)</f>
        <v>0</v>
      </c>
      <c r="D156" s="253">
        <f>'6.Cons Profit &amp; Loss'!C10*(1-$M$123)</f>
        <v>0</v>
      </c>
      <c r="E156" s="253">
        <f>'6.Cons Profit &amp; Loss'!D10*(1-$M$123)</f>
        <v>0</v>
      </c>
      <c r="F156" s="253">
        <f>'6.Cons Profit &amp; Loss'!E10*(1-$M$123)</f>
        <v>0</v>
      </c>
      <c r="G156" s="253">
        <f>'6.Cons Profit &amp; Loss'!F10*(1-$M$123)</f>
        <v>0</v>
      </c>
      <c r="H156" s="253">
        <f>'6.Cons Profit &amp; Loss'!G10*(1-$M$123)</f>
        <v>0</v>
      </c>
      <c r="I156" s="253">
        <f>'6.Cons Profit &amp; Loss'!H10*(1-$M$123)</f>
        <v>0</v>
      </c>
    </row>
    <row r="157" spans="2:15" hidden="1" x14ac:dyDescent="0.35">
      <c r="B157" s="252" t="str">
        <f t="shared" si="20"/>
        <v>Facility 6 - Processing Unit - Horti Commodity</v>
      </c>
      <c r="C157" s="253">
        <f>'6.Cons Profit &amp; Loss'!B11*(1-$M$123)</f>
        <v>0</v>
      </c>
      <c r="D157" s="253">
        <f>'6.Cons Profit &amp; Loss'!C11*(1-$M$123)</f>
        <v>0</v>
      </c>
      <c r="E157" s="253">
        <f>'6.Cons Profit &amp; Loss'!D11*(1-$M$123)</f>
        <v>0</v>
      </c>
      <c r="F157" s="253">
        <f>'6.Cons Profit &amp; Loss'!E11*(1-$M$123)</f>
        <v>0</v>
      </c>
      <c r="G157" s="253">
        <f>'6.Cons Profit &amp; Loss'!F11*(1-$M$123)</f>
        <v>0</v>
      </c>
      <c r="H157" s="253">
        <f>'6.Cons Profit &amp; Loss'!G11*(1-$M$123)</f>
        <v>0</v>
      </c>
      <c r="I157" s="253">
        <f>'6.Cons Profit &amp; Loss'!H11*(1-$M$123)</f>
        <v>0</v>
      </c>
    </row>
    <row r="158" spans="2:15" hidden="1" x14ac:dyDescent="0.35">
      <c r="B158" s="252">
        <f t="shared" si="20"/>
        <v>0</v>
      </c>
      <c r="C158" s="253">
        <f>'6.Cons Profit &amp; Loss'!B12*(1-$M$123)</f>
        <v>0</v>
      </c>
      <c r="D158" s="253">
        <f>'6.Cons Profit &amp; Loss'!C12*(1-$M$123)</f>
        <v>0</v>
      </c>
      <c r="E158" s="253">
        <f>'6.Cons Profit &amp; Loss'!D12*(1-$M$123)</f>
        <v>0</v>
      </c>
      <c r="F158" s="253">
        <f>'6.Cons Profit &amp; Loss'!E12*(1-$M$123)</f>
        <v>0</v>
      </c>
      <c r="G158" s="253">
        <f>'6.Cons Profit &amp; Loss'!F12*(1-$M$123)</f>
        <v>0</v>
      </c>
      <c r="H158" s="253">
        <f>'6.Cons Profit &amp; Loss'!G12*(1-$M$123)</f>
        <v>0</v>
      </c>
      <c r="I158" s="253">
        <f>'6.Cons Profit &amp; Loss'!H12*(1-$M$123)</f>
        <v>0</v>
      </c>
    </row>
    <row r="159" spans="2:15" hidden="1" x14ac:dyDescent="0.35">
      <c r="B159" s="252" t="s">
        <v>346</v>
      </c>
      <c r="C159" s="253">
        <f>SUM(C152:C158)</f>
        <v>71171051.916906372</v>
      </c>
      <c r="D159" s="253">
        <f t="shared" ref="D159:I159" si="21">SUM(D152:D158)</f>
        <v>83669164.260527372</v>
      </c>
      <c r="E159" s="253">
        <f t="shared" si="21"/>
        <v>95828969.314525217</v>
      </c>
      <c r="F159" s="253">
        <f t="shared" si="21"/>
        <v>108995581.96327157</v>
      </c>
      <c r="G159" s="253">
        <f t="shared" si="21"/>
        <v>123239283.45360619</v>
      </c>
      <c r="H159" s="253">
        <f t="shared" si="21"/>
        <v>138582870.42720991</v>
      </c>
      <c r="I159" s="253">
        <f t="shared" si="21"/>
        <v>155152717.88953993</v>
      </c>
    </row>
    <row r="160" spans="2:15" hidden="1" x14ac:dyDescent="0.35">
      <c r="B160" s="252" t="s">
        <v>347</v>
      </c>
      <c r="C160" s="253"/>
      <c r="D160" s="253"/>
      <c r="E160" s="253"/>
      <c r="F160" s="253"/>
      <c r="G160" s="253"/>
      <c r="H160" s="253"/>
      <c r="I160" s="253"/>
    </row>
    <row r="161" spans="2:9" hidden="1" x14ac:dyDescent="0.35">
      <c r="B161" s="252" t="s">
        <v>348</v>
      </c>
      <c r="C161" s="253">
        <f>'6.Cons Profit &amp; Loss'!B34</f>
        <v>2150800</v>
      </c>
      <c r="D161" s="253">
        <f>'6.Cons Profit &amp; Loss'!C34</f>
        <v>2258340</v>
      </c>
      <c r="E161" s="253">
        <f>'6.Cons Profit &amp; Loss'!D34</f>
        <v>2371257</v>
      </c>
      <c r="F161" s="253">
        <f>'6.Cons Profit &amp; Loss'!E34</f>
        <v>2489819.8500000006</v>
      </c>
      <c r="G161" s="253">
        <f>'6.Cons Profit &amp; Loss'!F34</f>
        <v>2614310.8425000007</v>
      </c>
      <c r="H161" s="253">
        <f>'6.Cons Profit &amp; Loss'!G34</f>
        <v>2745026.3846250009</v>
      </c>
      <c r="I161" s="253">
        <f>'6.Cons Profit &amp; Loss'!H34</f>
        <v>2882277.7038562512</v>
      </c>
    </row>
    <row r="162" spans="2:9" hidden="1" x14ac:dyDescent="0.35">
      <c r="B162" s="252" t="s">
        <v>310</v>
      </c>
      <c r="C162" s="253">
        <f>'6.Cons Profit &amp; Loss'!B23*(1-$M$123)</f>
        <v>65959338.482747428</v>
      </c>
      <c r="D162" s="253">
        <f>'6.Cons Profit &amp; Loss'!C23*(1-$M$123)</f>
        <v>77496180.703975022</v>
      </c>
      <c r="E162" s="253">
        <f>'6.Cons Profit &amp; Loss'!D23*(1-$M$123)</f>
        <v>88760713.373118877</v>
      </c>
      <c r="F162" s="253">
        <f>'6.Cons Profit &amp; Loss'!E23*(1-$M$123)</f>
        <v>100957958.85741717</v>
      </c>
      <c r="G162" s="253">
        <f>'6.Cons Profit &amp; Loss'!F23*(1-$M$123)</f>
        <v>114153027.10671252</v>
      </c>
      <c r="H162" s="253">
        <f>'6.Cons Profit &amp; Loss'!G23*(1-$M$123)</f>
        <v>128415207.28379382</v>
      </c>
      <c r="I162" s="253">
        <f>'6.Cons Profit &amp; Loss'!H23*(1-$M$123)</f>
        <v>143818222.91081649</v>
      </c>
    </row>
    <row r="163" spans="2:9" hidden="1" x14ac:dyDescent="0.35">
      <c r="B163" s="252" t="s">
        <v>349</v>
      </c>
      <c r="C163" s="253">
        <f t="shared" ref="C163:I163" si="22">SUM(C161:C162)</f>
        <v>68110138.482747436</v>
      </c>
      <c r="D163" s="253">
        <f t="shared" si="22"/>
        <v>79754520.703975022</v>
      </c>
      <c r="E163" s="253">
        <f t="shared" si="22"/>
        <v>91131970.373118877</v>
      </c>
      <c r="F163" s="253">
        <f t="shared" si="22"/>
        <v>103447778.70741716</v>
      </c>
      <c r="G163" s="253">
        <f t="shared" si="22"/>
        <v>116767337.94921252</v>
      </c>
      <c r="H163" s="253">
        <f t="shared" si="22"/>
        <v>131160233.66841882</v>
      </c>
      <c r="I163" s="253">
        <f t="shared" si="22"/>
        <v>146700500.61467275</v>
      </c>
    </row>
    <row r="164" spans="2:9" x14ac:dyDescent="0.35">
      <c r="B164" s="255" t="s">
        <v>350</v>
      </c>
      <c r="C164" s="255">
        <f t="shared" ref="C164:I164" si="23">+C159-C163</f>
        <v>3060913.4341589361</v>
      </c>
      <c r="D164" s="255">
        <f t="shared" si="23"/>
        <v>3914643.5565523505</v>
      </c>
      <c r="E164" s="255">
        <f t="shared" si="23"/>
        <v>4696998.9414063394</v>
      </c>
      <c r="F164" s="255">
        <f t="shared" si="23"/>
        <v>5547803.2558544129</v>
      </c>
      <c r="G164" s="255">
        <f t="shared" si="23"/>
        <v>6471945.504393667</v>
      </c>
      <c r="H164" s="255">
        <f t="shared" si="23"/>
        <v>7422636.7587910891</v>
      </c>
      <c r="I164" s="255">
        <f t="shared" si="23"/>
        <v>8452217.274867177</v>
      </c>
    </row>
    <row r="165" spans="2:9" hidden="1" x14ac:dyDescent="0.35">
      <c r="B165" s="119"/>
      <c r="C165" s="257"/>
      <c r="D165" s="257"/>
      <c r="E165" s="257"/>
      <c r="F165" s="257"/>
      <c r="G165" s="257"/>
      <c r="H165" s="257"/>
      <c r="I165" s="257"/>
    </row>
    <row r="166" spans="2:9" x14ac:dyDescent="0.35">
      <c r="B166" s="501" t="s">
        <v>353</v>
      </c>
      <c r="C166" s="502" t="s">
        <v>2</v>
      </c>
      <c r="D166" s="502" t="s">
        <v>3</v>
      </c>
      <c r="E166" s="502" t="s">
        <v>4</v>
      </c>
      <c r="F166" s="502" t="s">
        <v>5</v>
      </c>
      <c r="G166" s="502" t="s">
        <v>6</v>
      </c>
      <c r="H166" s="502" t="s">
        <v>165</v>
      </c>
      <c r="I166" s="502" t="s">
        <v>164</v>
      </c>
    </row>
    <row r="167" spans="2:9" hidden="1" x14ac:dyDescent="0.35">
      <c r="B167" s="252" t="str">
        <f t="shared" ref="B167:B173" si="24">B152</f>
        <v>Faclitiy 1 - Trading Activity</v>
      </c>
      <c r="C167" s="258">
        <f>'6.Cons Profit &amp; Loss'!B6</f>
        <v>72700218.471037492</v>
      </c>
      <c r="D167" s="258">
        <f>'6.Cons Profit &amp; Loss'!C6</f>
        <v>85507170.371677712</v>
      </c>
      <c r="E167" s="258">
        <f>'6.Cons Profit &amp; Loss'!D6</f>
        <v>97959261.870644554</v>
      </c>
      <c r="F167" s="258">
        <f>'6.Cons Profit &amp; Loss'!E6</f>
        <v>111442794.59357895</v>
      </c>
      <c r="G167" s="258">
        <f>'6.Cons Profit &amp; Loss'!F6</f>
        <v>126029782.43413009</v>
      </c>
      <c r="H167" s="258">
        <f>'6.Cons Profit &amp; Loss'!G6</f>
        <v>141796862.07225248</v>
      </c>
      <c r="I167" s="258">
        <f>'6.Cons Profit &amp; Loss'!H6</f>
        <v>158825575.21810174</v>
      </c>
    </row>
    <row r="168" spans="2:9" hidden="1" x14ac:dyDescent="0.35">
      <c r="B168" s="252" t="str">
        <f t="shared" si="24"/>
        <v>Faclitiy 2 - Processing Unit- Cleaning, Grading</v>
      </c>
      <c r="C168" s="258">
        <f>'6.Cons Profit &amp; Loss'!B7</f>
        <v>0</v>
      </c>
      <c r="D168" s="258">
        <f>'6.Cons Profit &amp; Loss'!C7</f>
        <v>0</v>
      </c>
      <c r="E168" s="258">
        <f>'6.Cons Profit &amp; Loss'!D7</f>
        <v>0</v>
      </c>
      <c r="F168" s="258">
        <f>'6.Cons Profit &amp; Loss'!E7</f>
        <v>0</v>
      </c>
      <c r="G168" s="258">
        <f>'6.Cons Profit &amp; Loss'!F7</f>
        <v>0</v>
      </c>
      <c r="H168" s="258">
        <f>'6.Cons Profit &amp; Loss'!G7</f>
        <v>0</v>
      </c>
      <c r="I168" s="258">
        <f>'6.Cons Profit &amp; Loss'!H7</f>
        <v>0</v>
      </c>
    </row>
    <row r="169" spans="2:9" hidden="1" x14ac:dyDescent="0.35">
      <c r="B169" s="252" t="str">
        <f t="shared" si="24"/>
        <v>Faclitiy 3 - Warehouse</v>
      </c>
      <c r="C169" s="258">
        <f>'6.Cons Profit &amp; Loss'!B8</f>
        <v>672000</v>
      </c>
      <c r="D169" s="258">
        <f>'6.Cons Profit &amp; Loss'!C8</f>
        <v>749700.00000000023</v>
      </c>
      <c r="E169" s="258">
        <f>'6.Cons Profit &amp; Loss'!D8</f>
        <v>833490.00000000023</v>
      </c>
      <c r="F169" s="258">
        <f>'6.Cons Profit &amp; Loss'!E8</f>
        <v>923784.75000000035</v>
      </c>
      <c r="G169" s="258">
        <f>'6.Cons Profit &amp; Loss'!F8</f>
        <v>1021025.2500000005</v>
      </c>
      <c r="H169" s="258">
        <f>'6.Cons Profit &amp; Loss'!G8</f>
        <v>1072076.5125000007</v>
      </c>
      <c r="I169" s="258">
        <f>'6.Cons Profit &amp; Loss'!H8</f>
        <v>1125680.3381250007</v>
      </c>
    </row>
    <row r="170" spans="2:9" hidden="1" x14ac:dyDescent="0.35">
      <c r="B170" s="252" t="str">
        <f t="shared" si="24"/>
        <v xml:space="preserve">Faclitiy 4 - Custom Hiring </v>
      </c>
      <c r="C170" s="258">
        <f>'6.Cons Profit &amp; Loss'!B9</f>
        <v>0</v>
      </c>
      <c r="D170" s="258">
        <f>'6.Cons Profit &amp; Loss'!C9</f>
        <v>0</v>
      </c>
      <c r="E170" s="258">
        <f>'6.Cons Profit &amp; Loss'!D9</f>
        <v>0</v>
      </c>
      <c r="F170" s="258">
        <f>'6.Cons Profit &amp; Loss'!E9</f>
        <v>0</v>
      </c>
      <c r="G170" s="258">
        <f>'6.Cons Profit &amp; Loss'!F9</f>
        <v>0</v>
      </c>
      <c r="H170" s="258">
        <f>'6.Cons Profit &amp; Loss'!G9</f>
        <v>0</v>
      </c>
      <c r="I170" s="258">
        <f>'6.Cons Profit &amp; Loss'!H9</f>
        <v>0</v>
      </c>
    </row>
    <row r="171" spans="2:9" hidden="1" x14ac:dyDescent="0.35">
      <c r="B171" s="252" t="str">
        <f t="shared" si="24"/>
        <v>Faclitiy 5 - Agri Input Centre</v>
      </c>
      <c r="C171" s="258">
        <f>'6.Cons Profit &amp; Loss'!B10</f>
        <v>0</v>
      </c>
      <c r="D171" s="258">
        <f>'6.Cons Profit &amp; Loss'!C10</f>
        <v>0</v>
      </c>
      <c r="E171" s="258">
        <f>'6.Cons Profit &amp; Loss'!D10</f>
        <v>0</v>
      </c>
      <c r="F171" s="258">
        <f>'6.Cons Profit &amp; Loss'!E10</f>
        <v>0</v>
      </c>
      <c r="G171" s="258">
        <f>'6.Cons Profit &amp; Loss'!F10</f>
        <v>0</v>
      </c>
      <c r="H171" s="258">
        <f>'6.Cons Profit &amp; Loss'!G10</f>
        <v>0</v>
      </c>
      <c r="I171" s="258">
        <f>'6.Cons Profit &amp; Loss'!H10</f>
        <v>0</v>
      </c>
    </row>
    <row r="172" spans="2:9" hidden="1" x14ac:dyDescent="0.35">
      <c r="B172" s="252" t="str">
        <f t="shared" si="24"/>
        <v>Facility 6 - Processing Unit - Horti Commodity</v>
      </c>
      <c r="C172" s="258">
        <f>'6.Cons Profit &amp; Loss'!B11</f>
        <v>0</v>
      </c>
      <c r="D172" s="258">
        <f>'6.Cons Profit &amp; Loss'!C11</f>
        <v>0</v>
      </c>
      <c r="E172" s="258">
        <f>'6.Cons Profit &amp; Loss'!D11</f>
        <v>0</v>
      </c>
      <c r="F172" s="258">
        <f>'6.Cons Profit &amp; Loss'!E11</f>
        <v>0</v>
      </c>
      <c r="G172" s="258">
        <f>'6.Cons Profit &amp; Loss'!F11</f>
        <v>0</v>
      </c>
      <c r="H172" s="258">
        <f>'6.Cons Profit &amp; Loss'!G11</f>
        <v>0</v>
      </c>
      <c r="I172" s="258">
        <f>'6.Cons Profit &amp; Loss'!H11</f>
        <v>0</v>
      </c>
    </row>
    <row r="173" spans="2:9" hidden="1" x14ac:dyDescent="0.35">
      <c r="B173" s="252">
        <f t="shared" si="24"/>
        <v>0</v>
      </c>
      <c r="C173" s="258">
        <f>'6.Cons Profit &amp; Loss'!B12</f>
        <v>0</v>
      </c>
      <c r="D173" s="258">
        <f>'6.Cons Profit &amp; Loss'!C12</f>
        <v>0</v>
      </c>
      <c r="E173" s="258">
        <f>'6.Cons Profit &amp; Loss'!D12</f>
        <v>0</v>
      </c>
      <c r="F173" s="258">
        <f>'6.Cons Profit &amp; Loss'!E12</f>
        <v>0</v>
      </c>
      <c r="G173" s="258">
        <f>'6.Cons Profit &amp; Loss'!F12</f>
        <v>0</v>
      </c>
      <c r="H173" s="258">
        <f>'6.Cons Profit &amp; Loss'!G12</f>
        <v>0</v>
      </c>
      <c r="I173" s="258">
        <f>'6.Cons Profit &amp; Loss'!H12</f>
        <v>0</v>
      </c>
    </row>
    <row r="174" spans="2:9" hidden="1" x14ac:dyDescent="0.35">
      <c r="B174" s="252" t="s">
        <v>346</v>
      </c>
      <c r="C174" s="258">
        <f>SUM(C167:C173)</f>
        <v>73372218.471037492</v>
      </c>
      <c r="D174" s="258">
        <f t="shared" ref="D174:I174" si="25">SUM(D167:D173)</f>
        <v>86256870.371677712</v>
      </c>
      <c r="E174" s="258">
        <f t="shared" si="25"/>
        <v>98792751.870644554</v>
      </c>
      <c r="F174" s="258">
        <f t="shared" si="25"/>
        <v>112366579.34357895</v>
      </c>
      <c r="G174" s="258">
        <f t="shared" si="25"/>
        <v>127050807.68413009</v>
      </c>
      <c r="H174" s="258">
        <f t="shared" si="25"/>
        <v>142868938.58475247</v>
      </c>
      <c r="I174" s="258">
        <f t="shared" si="25"/>
        <v>159951255.55622673</v>
      </c>
    </row>
    <row r="175" spans="2:9" hidden="1" x14ac:dyDescent="0.35">
      <c r="B175" s="252" t="s">
        <v>347</v>
      </c>
      <c r="C175" s="258"/>
      <c r="D175" s="258"/>
      <c r="E175" s="258"/>
      <c r="F175" s="258"/>
      <c r="G175" s="258"/>
      <c r="H175" s="258"/>
      <c r="I175" s="258"/>
    </row>
    <row r="176" spans="2:9" hidden="1" x14ac:dyDescent="0.35">
      <c r="B176" s="252" t="s">
        <v>348</v>
      </c>
      <c r="C176" s="258">
        <f>'6.Cons Profit &amp; Loss'!B34</f>
        <v>2150800</v>
      </c>
      <c r="D176" s="258">
        <f>'6.Cons Profit &amp; Loss'!C34</f>
        <v>2258340</v>
      </c>
      <c r="E176" s="258">
        <f>'6.Cons Profit &amp; Loss'!D34</f>
        <v>2371257</v>
      </c>
      <c r="F176" s="258">
        <f>'6.Cons Profit &amp; Loss'!E34</f>
        <v>2489819.8500000006</v>
      </c>
      <c r="G176" s="258">
        <f>'6.Cons Profit &amp; Loss'!F34</f>
        <v>2614310.8425000007</v>
      </c>
      <c r="H176" s="258">
        <f>'6.Cons Profit &amp; Loss'!G34</f>
        <v>2745026.3846250009</v>
      </c>
      <c r="I176" s="258">
        <f>'6.Cons Profit &amp; Loss'!H34</f>
        <v>2882277.7038562512</v>
      </c>
    </row>
    <row r="177" spans="2:13" hidden="1" x14ac:dyDescent="0.35">
      <c r="B177" s="252" t="s">
        <v>310</v>
      </c>
      <c r="C177" s="258">
        <f>'6.Cons Profit &amp; Loss'!B23*(1-$M$124)</f>
        <v>65959338.482747428</v>
      </c>
      <c r="D177" s="258">
        <f>'6.Cons Profit &amp; Loss'!C23*(1-$M$124)</f>
        <v>77496180.703975022</v>
      </c>
      <c r="E177" s="258">
        <f>'6.Cons Profit &amp; Loss'!D23*(1-$M$124)</f>
        <v>88760713.373118877</v>
      </c>
      <c r="F177" s="258">
        <f>'6.Cons Profit &amp; Loss'!E23*(1-$M$124)</f>
        <v>100957958.85741717</v>
      </c>
      <c r="G177" s="258">
        <f>'6.Cons Profit &amp; Loss'!F23*(1-$M$124)</f>
        <v>114153027.10671252</v>
      </c>
      <c r="H177" s="258">
        <f>'6.Cons Profit &amp; Loss'!G23*(1-$M$124)</f>
        <v>128415207.28379382</v>
      </c>
      <c r="I177" s="258">
        <f>'6.Cons Profit &amp; Loss'!H23*(1-$M$124)</f>
        <v>143818222.91081649</v>
      </c>
    </row>
    <row r="178" spans="2:13" hidden="1" x14ac:dyDescent="0.35">
      <c r="B178" s="252" t="s">
        <v>349</v>
      </c>
      <c r="C178" s="258">
        <f t="shared" ref="C178:I178" si="26">SUM(C176:C177)</f>
        <v>68110138.482747436</v>
      </c>
      <c r="D178" s="258">
        <f t="shared" si="26"/>
        <v>79754520.703975022</v>
      </c>
      <c r="E178" s="258">
        <f t="shared" si="26"/>
        <v>91131970.373118877</v>
      </c>
      <c r="F178" s="258">
        <f t="shared" si="26"/>
        <v>103447778.70741716</v>
      </c>
      <c r="G178" s="258">
        <f t="shared" si="26"/>
        <v>116767337.94921252</v>
      </c>
      <c r="H178" s="258">
        <f t="shared" si="26"/>
        <v>131160233.66841882</v>
      </c>
      <c r="I178" s="258">
        <f t="shared" si="26"/>
        <v>146700500.61467275</v>
      </c>
    </row>
    <row r="179" spans="2:13" x14ac:dyDescent="0.35">
      <c r="B179" s="255" t="s">
        <v>350</v>
      </c>
      <c r="C179" s="255">
        <f t="shared" ref="C179:I179" si="27">+C174-C178</f>
        <v>5262079.9882900566</v>
      </c>
      <c r="D179" s="255">
        <f t="shared" si="27"/>
        <v>6502349.6677026898</v>
      </c>
      <c r="E179" s="255">
        <f t="shared" si="27"/>
        <v>7660781.4975256771</v>
      </c>
      <c r="F179" s="255">
        <f t="shared" si="27"/>
        <v>8918800.6361617893</v>
      </c>
      <c r="G179" s="255">
        <f t="shared" si="27"/>
        <v>10283469.734917566</v>
      </c>
      <c r="H179" s="255">
        <f t="shared" si="27"/>
        <v>11708704.916333646</v>
      </c>
      <c r="I179" s="255">
        <f t="shared" si="27"/>
        <v>13250754.94155398</v>
      </c>
    </row>
    <row r="181" spans="2:13" ht="41.15" customHeight="1" x14ac:dyDescent="0.35">
      <c r="B181" s="456" t="s">
        <v>537</v>
      </c>
      <c r="C181" s="456"/>
      <c r="D181" s="456"/>
      <c r="E181" s="456"/>
      <c r="F181" s="456"/>
      <c r="G181" s="456"/>
      <c r="H181" s="456"/>
      <c r="I181" s="456"/>
      <c r="J181" s="98"/>
      <c r="K181" s="98"/>
      <c r="L181" s="98"/>
      <c r="M181" s="98"/>
    </row>
  </sheetData>
  <autoFilter ref="B121:I179" xr:uid="{00000000-0001-0000-0900-000000000000}">
    <filterColumn colId="0">
      <filters>
        <filter val="Cost Variation (+5%)"/>
        <filter val="Cost Variation (-5%)"/>
        <filter val="Net Income"/>
        <filter val="Quantity Variation (-5%)"/>
      </filters>
    </filterColumn>
  </autoFilter>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18"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24" zoomScale="80" zoomScaleSheetLayoutView="80" workbookViewId="0">
      <selection activeCell="B42" sqref="B42:B53"/>
    </sheetView>
  </sheetViews>
  <sheetFormatPr defaultColWidth="8.7265625" defaultRowHeight="14.5" x14ac:dyDescent="0.35"/>
  <cols>
    <col min="1" max="1" width="49.1796875" style="107" bestFit="1" customWidth="1"/>
    <col min="2" max="2" width="23.26953125" style="107" bestFit="1" customWidth="1"/>
    <col min="3" max="3" width="11.54296875" style="107" customWidth="1"/>
    <col min="4" max="4" width="18.81640625" style="107" customWidth="1"/>
    <col min="5" max="5" width="15.1796875" style="107" customWidth="1"/>
    <col min="6" max="7" width="15.81640625" style="107" customWidth="1"/>
    <col min="8" max="8" width="21.26953125" style="107" customWidth="1"/>
    <col min="9" max="9" width="11.453125" style="107" bestFit="1" customWidth="1"/>
    <col min="10" max="10" width="9.1796875" style="107" hidden="1" customWidth="1"/>
    <col min="11" max="26" width="0" style="107" hidden="1" customWidth="1"/>
    <col min="27" max="16384" width="8.7265625" style="107"/>
  </cols>
  <sheetData>
    <row r="1" spans="1:26" x14ac:dyDescent="0.35">
      <c r="A1" s="423" t="s">
        <v>584</v>
      </c>
      <c r="B1" s="423"/>
      <c r="C1" s="423"/>
      <c r="D1" s="423"/>
      <c r="E1" s="423"/>
      <c r="F1" s="423"/>
      <c r="G1" s="423"/>
      <c r="H1" s="423"/>
    </row>
    <row r="2" spans="1:26" x14ac:dyDescent="0.35">
      <c r="B2" s="108"/>
    </row>
    <row r="3" spans="1:26" x14ac:dyDescent="0.35">
      <c r="A3" s="434" t="s">
        <v>555</v>
      </c>
      <c r="B3" s="434"/>
    </row>
    <row r="4" spans="1:26" x14ac:dyDescent="0.35">
      <c r="A4" s="181" t="s">
        <v>0</v>
      </c>
      <c r="B4" s="195" t="s">
        <v>385</v>
      </c>
      <c r="C4" s="202"/>
      <c r="D4" s="202"/>
      <c r="E4" s="202"/>
      <c r="F4" s="202"/>
      <c r="G4" s="202"/>
      <c r="H4" s="202"/>
    </row>
    <row r="5" spans="1:26" x14ac:dyDescent="0.35">
      <c r="A5" s="112" t="s">
        <v>494</v>
      </c>
      <c r="B5" s="113">
        <v>998</v>
      </c>
      <c r="C5" s="203"/>
      <c r="D5" s="204"/>
      <c r="E5" s="204"/>
      <c r="F5" s="204"/>
      <c r="G5" s="204"/>
      <c r="H5" s="204"/>
    </row>
    <row r="6" spans="1:26" x14ac:dyDescent="0.35">
      <c r="A6" s="112" t="s">
        <v>495</v>
      </c>
      <c r="B6" s="113">
        <v>1000</v>
      </c>
      <c r="C6" s="203"/>
      <c r="D6" s="204"/>
      <c r="E6" s="204"/>
      <c r="F6" s="204"/>
      <c r="G6" s="204"/>
      <c r="H6" s="204"/>
    </row>
    <row r="7" spans="1:26" x14ac:dyDescent="0.35">
      <c r="A7" s="116" t="s">
        <v>1</v>
      </c>
      <c r="B7" s="191">
        <f>B5+B6</f>
        <v>1998</v>
      </c>
      <c r="C7" s="205"/>
      <c r="D7" s="206"/>
      <c r="E7" s="206"/>
      <c r="F7" s="206"/>
      <c r="G7" s="206"/>
      <c r="H7" s="206"/>
    </row>
    <row r="8" spans="1:26" x14ac:dyDescent="0.35">
      <c r="A8" s="116" t="s">
        <v>496</v>
      </c>
      <c r="B8" s="178">
        <v>2.5</v>
      </c>
      <c r="C8" s="205"/>
      <c r="D8" s="205"/>
      <c r="E8" s="205"/>
      <c r="F8" s="205"/>
      <c r="G8" s="205"/>
      <c r="H8" s="205"/>
    </row>
    <row r="9" spans="1:26" x14ac:dyDescent="0.35">
      <c r="A9" s="116" t="s">
        <v>501</v>
      </c>
      <c r="B9" s="191">
        <f>B7*B8</f>
        <v>4995</v>
      </c>
      <c r="C9" s="206"/>
      <c r="D9" s="206"/>
      <c r="E9" s="206"/>
      <c r="F9" s="206"/>
      <c r="G9" s="206"/>
      <c r="H9" s="206"/>
    </row>
    <row r="10" spans="1:26" x14ac:dyDescent="0.35">
      <c r="J10" s="107" t="s">
        <v>455</v>
      </c>
      <c r="O10" s="107" t="s">
        <v>451</v>
      </c>
      <c r="U10" s="107" t="s">
        <v>452</v>
      </c>
      <c r="Y10" s="107" t="s">
        <v>453</v>
      </c>
      <c r="Z10" s="107" t="s">
        <v>454</v>
      </c>
    </row>
    <row r="11" spans="1:26" x14ac:dyDescent="0.35">
      <c r="A11" s="423" t="s">
        <v>556</v>
      </c>
      <c r="B11" s="423"/>
      <c r="C11" s="423"/>
      <c r="D11" s="423"/>
      <c r="E11" s="423"/>
      <c r="F11" s="423"/>
      <c r="G11" s="423"/>
      <c r="H11" s="423"/>
      <c r="I11" s="207"/>
      <c r="J11" s="207"/>
      <c r="K11" s="207"/>
      <c r="L11" s="207"/>
      <c r="M11" s="207"/>
      <c r="N11" s="207"/>
      <c r="O11" s="207"/>
      <c r="P11" s="207"/>
    </row>
    <row r="12" spans="1:26" x14ac:dyDescent="0.35">
      <c r="J12" s="143">
        <v>0.65</v>
      </c>
      <c r="K12" s="208">
        <f>J12+0.05</f>
        <v>0.70000000000000007</v>
      </c>
      <c r="L12" s="208">
        <f t="shared" ref="L12:N12" si="0">K12+0.05</f>
        <v>0.75000000000000011</v>
      </c>
      <c r="M12" s="208">
        <f t="shared" si="0"/>
        <v>0.80000000000000016</v>
      </c>
      <c r="N12" s="208">
        <f t="shared" si="0"/>
        <v>0.8500000000000002</v>
      </c>
      <c r="O12" s="143">
        <v>0.4</v>
      </c>
      <c r="P12" s="143">
        <f>O12+0.05</f>
        <v>0.45</v>
      </c>
      <c r="Q12" s="143">
        <f t="shared" ref="Q12:T12" si="1">P12+0.05</f>
        <v>0.5</v>
      </c>
      <c r="R12" s="143">
        <f t="shared" si="1"/>
        <v>0.55000000000000004</v>
      </c>
      <c r="S12" s="143">
        <f t="shared" si="1"/>
        <v>0.60000000000000009</v>
      </c>
      <c r="T12" s="143">
        <f t="shared" si="1"/>
        <v>0.65000000000000013</v>
      </c>
      <c r="U12" s="143">
        <v>0.1</v>
      </c>
      <c r="V12" s="109">
        <f>U12+0.05</f>
        <v>0.15000000000000002</v>
      </c>
      <c r="W12" s="109">
        <f t="shared" ref="W12:X12" si="2">V12+0.05</f>
        <v>0.2</v>
      </c>
      <c r="X12" s="109">
        <f t="shared" si="2"/>
        <v>0.25</v>
      </c>
    </row>
    <row r="13" spans="1:26" ht="43.5" x14ac:dyDescent="0.35">
      <c r="A13" s="181" t="s">
        <v>389</v>
      </c>
      <c r="B13" s="181" t="s">
        <v>390</v>
      </c>
      <c r="C13" s="209" t="s">
        <v>448</v>
      </c>
      <c r="D13" s="209" t="s">
        <v>456</v>
      </c>
      <c r="E13" s="209" t="s">
        <v>457</v>
      </c>
      <c r="F13" s="209" t="s">
        <v>391</v>
      </c>
      <c r="G13" s="209" t="s">
        <v>626</v>
      </c>
      <c r="H13" s="209" t="s">
        <v>392</v>
      </c>
      <c r="O13" s="210" t="s">
        <v>2</v>
      </c>
      <c r="P13" s="210" t="s">
        <v>3</v>
      </c>
      <c r="Q13" s="210" t="s">
        <v>4</v>
      </c>
      <c r="R13" s="210" t="s">
        <v>5</v>
      </c>
      <c r="S13" s="210" t="s">
        <v>6</v>
      </c>
      <c r="T13" s="210" t="s">
        <v>2</v>
      </c>
      <c r="U13" s="210" t="s">
        <v>3</v>
      </c>
      <c r="V13" s="210" t="s">
        <v>4</v>
      </c>
      <c r="W13" s="210" t="s">
        <v>5</v>
      </c>
      <c r="X13" s="210" t="s">
        <v>6</v>
      </c>
    </row>
    <row r="14" spans="1:26" x14ac:dyDescent="0.35">
      <c r="A14" s="499" t="s">
        <v>393</v>
      </c>
      <c r="B14" s="113" t="s">
        <v>163</v>
      </c>
      <c r="C14" s="211">
        <v>0.75</v>
      </c>
      <c r="D14" s="199">
        <f t="shared" ref="D14:D22" si="3">$B$9*C14</f>
        <v>3746.25</v>
      </c>
      <c r="E14" s="212">
        <v>7</v>
      </c>
      <c r="F14" s="199">
        <f>D14*E14</f>
        <v>26223.75</v>
      </c>
      <c r="G14" s="175">
        <v>0.01</v>
      </c>
      <c r="H14" s="199">
        <f>(F14-F14*G14)</f>
        <v>25961.512500000001</v>
      </c>
      <c r="J14" s="107">
        <f>$D$14*J12</f>
        <v>2435.0625</v>
      </c>
      <c r="K14" s="107">
        <f>$D$14*K12</f>
        <v>2622.3750000000005</v>
      </c>
      <c r="L14" s="107">
        <f>$D$14*L12</f>
        <v>2809.6875000000005</v>
      </c>
      <c r="M14" s="107">
        <f>$D$14*M12</f>
        <v>2997.0000000000005</v>
      </c>
      <c r="N14" s="107">
        <f>$D$14*N12</f>
        <v>3184.3125000000009</v>
      </c>
    </row>
    <row r="15" spans="1:26" x14ac:dyDescent="0.35">
      <c r="A15" s="499"/>
      <c r="B15" s="113" t="s">
        <v>670</v>
      </c>
      <c r="C15" s="211">
        <v>0.1</v>
      </c>
      <c r="D15" s="199">
        <f t="shared" si="3"/>
        <v>499.5</v>
      </c>
      <c r="E15" s="212">
        <v>7</v>
      </c>
      <c r="F15" s="199">
        <f t="shared" ref="F15:F36" si="4">D15*E15</f>
        <v>3496.5</v>
      </c>
      <c r="G15" s="175">
        <v>0.05</v>
      </c>
      <c r="H15" s="199">
        <f>(F15-F15*G15)</f>
        <v>3321.6750000000002</v>
      </c>
    </row>
    <row r="16" spans="1:26" hidden="1" x14ac:dyDescent="0.35">
      <c r="A16" s="499"/>
      <c r="B16" s="113" t="s">
        <v>668</v>
      </c>
      <c r="C16" s="211">
        <v>0</v>
      </c>
      <c r="D16" s="199">
        <f t="shared" si="3"/>
        <v>0</v>
      </c>
      <c r="E16" s="212">
        <v>15</v>
      </c>
      <c r="F16" s="199">
        <f t="shared" si="4"/>
        <v>0</v>
      </c>
      <c r="G16" s="175">
        <v>0.01</v>
      </c>
      <c r="H16" s="199">
        <f t="shared" ref="H16:H36" si="5">(F16-F16*G16)</f>
        <v>0</v>
      </c>
    </row>
    <row r="17" spans="1:8" x14ac:dyDescent="0.35">
      <c r="A17" s="499"/>
      <c r="B17" s="113" t="s">
        <v>677</v>
      </c>
      <c r="C17" s="211">
        <v>0.05</v>
      </c>
      <c r="D17" s="199">
        <f t="shared" si="3"/>
        <v>249.75</v>
      </c>
      <c r="E17" s="212">
        <v>7</v>
      </c>
      <c r="F17" s="199">
        <f t="shared" si="4"/>
        <v>1748.25</v>
      </c>
      <c r="G17" s="175">
        <v>0.01</v>
      </c>
      <c r="H17" s="199">
        <f t="shared" si="5"/>
        <v>1730.7674999999999</v>
      </c>
    </row>
    <row r="18" spans="1:8" hidden="1" x14ac:dyDescent="0.35">
      <c r="A18" s="499"/>
      <c r="B18" s="113" t="s">
        <v>394</v>
      </c>
      <c r="C18" s="211">
        <v>0</v>
      </c>
      <c r="D18" s="199">
        <f t="shared" si="3"/>
        <v>0</v>
      </c>
      <c r="E18" s="212">
        <v>0</v>
      </c>
      <c r="F18" s="199">
        <f t="shared" si="4"/>
        <v>0</v>
      </c>
      <c r="G18" s="175">
        <v>0</v>
      </c>
      <c r="H18" s="199">
        <f t="shared" si="5"/>
        <v>0</v>
      </c>
    </row>
    <row r="19" spans="1:8" x14ac:dyDescent="0.35">
      <c r="A19" s="499"/>
      <c r="B19" s="113" t="s">
        <v>676</v>
      </c>
      <c r="C19" s="211">
        <v>0.05</v>
      </c>
      <c r="D19" s="199">
        <f t="shared" si="3"/>
        <v>249.75</v>
      </c>
      <c r="E19" s="212">
        <v>7</v>
      </c>
      <c r="F19" s="199">
        <f t="shared" si="4"/>
        <v>1748.25</v>
      </c>
      <c r="G19" s="175">
        <v>0.01</v>
      </c>
      <c r="H19" s="199">
        <f t="shared" si="5"/>
        <v>1730.7674999999999</v>
      </c>
    </row>
    <row r="20" spans="1:8" hidden="1" x14ac:dyDescent="0.35">
      <c r="A20" s="499"/>
      <c r="B20" s="113" t="s">
        <v>471</v>
      </c>
      <c r="C20" s="211">
        <v>0</v>
      </c>
      <c r="D20" s="199">
        <f t="shared" si="3"/>
        <v>0</v>
      </c>
      <c r="E20" s="212">
        <v>0</v>
      </c>
      <c r="F20" s="199">
        <f t="shared" si="4"/>
        <v>0</v>
      </c>
      <c r="G20" s="175">
        <v>0</v>
      </c>
      <c r="H20" s="199">
        <f t="shared" si="5"/>
        <v>0</v>
      </c>
    </row>
    <row r="21" spans="1:8" x14ac:dyDescent="0.35">
      <c r="A21" s="499"/>
      <c r="B21" s="113" t="s">
        <v>397</v>
      </c>
      <c r="C21" s="211">
        <v>0.05</v>
      </c>
      <c r="D21" s="199">
        <f t="shared" si="3"/>
        <v>249.75</v>
      </c>
      <c r="E21" s="212">
        <v>7</v>
      </c>
      <c r="F21" s="199">
        <f t="shared" si="4"/>
        <v>1748.25</v>
      </c>
      <c r="G21" s="175">
        <v>0.03</v>
      </c>
      <c r="H21" s="199">
        <f t="shared" si="5"/>
        <v>1695.8025</v>
      </c>
    </row>
    <row r="22" spans="1:8" hidden="1" x14ac:dyDescent="0.35">
      <c r="A22" s="499"/>
      <c r="B22" s="113"/>
      <c r="C22" s="211">
        <v>0</v>
      </c>
      <c r="D22" s="199">
        <f t="shared" si="3"/>
        <v>0</v>
      </c>
      <c r="E22" s="212">
        <v>0</v>
      </c>
      <c r="F22" s="199">
        <f t="shared" si="4"/>
        <v>0</v>
      </c>
      <c r="G22" s="175">
        <v>0</v>
      </c>
      <c r="H22" s="199">
        <f t="shared" si="5"/>
        <v>0</v>
      </c>
    </row>
    <row r="23" spans="1:8" x14ac:dyDescent="0.35">
      <c r="A23" s="245" t="s">
        <v>479</v>
      </c>
      <c r="B23" s="214">
        <v>0.6</v>
      </c>
      <c r="C23" s="215">
        <f>B9*B23</f>
        <v>2997</v>
      </c>
      <c r="D23" s="199"/>
      <c r="E23" s="212"/>
      <c r="F23" s="199"/>
      <c r="G23" s="175"/>
      <c r="H23" s="199"/>
    </row>
    <row r="24" spans="1:8" x14ac:dyDescent="0.35">
      <c r="A24" s="499" t="s">
        <v>395</v>
      </c>
      <c r="B24" s="113" t="s">
        <v>396</v>
      </c>
      <c r="C24" s="211">
        <v>0.15</v>
      </c>
      <c r="D24" s="199">
        <f>C$23*C24</f>
        <v>449.55</v>
      </c>
      <c r="E24" s="212">
        <v>8</v>
      </c>
      <c r="F24" s="199">
        <f t="shared" si="4"/>
        <v>3596.4</v>
      </c>
      <c r="G24" s="175">
        <v>0.05</v>
      </c>
      <c r="H24" s="199">
        <f t="shared" si="5"/>
        <v>3416.58</v>
      </c>
    </row>
    <row r="25" spans="1:8" x14ac:dyDescent="0.35">
      <c r="A25" s="499"/>
      <c r="B25" s="113" t="s">
        <v>669</v>
      </c>
      <c r="C25" s="211">
        <v>0.7</v>
      </c>
      <c r="D25" s="199">
        <f>C$23*C25</f>
        <v>2097.9</v>
      </c>
      <c r="E25" s="212">
        <v>6</v>
      </c>
      <c r="F25" s="199">
        <f t="shared" si="4"/>
        <v>12587.400000000001</v>
      </c>
      <c r="G25" s="175">
        <v>0.05</v>
      </c>
      <c r="H25" s="199">
        <f t="shared" si="5"/>
        <v>11958.03</v>
      </c>
    </row>
    <row r="26" spans="1:8" x14ac:dyDescent="0.35">
      <c r="A26" s="499"/>
      <c r="B26" s="113" t="s">
        <v>397</v>
      </c>
      <c r="C26" s="211">
        <v>0.1</v>
      </c>
      <c r="D26" s="199">
        <f>C$23*C26</f>
        <v>299.7</v>
      </c>
      <c r="E26" s="212">
        <v>7</v>
      </c>
      <c r="F26" s="199">
        <f t="shared" si="4"/>
        <v>2097.9</v>
      </c>
      <c r="G26" s="175">
        <v>0.03</v>
      </c>
      <c r="H26" s="199">
        <f t="shared" si="5"/>
        <v>2034.9630000000002</v>
      </c>
    </row>
    <row r="27" spans="1:8" hidden="1" x14ac:dyDescent="0.35">
      <c r="A27" s="499"/>
      <c r="B27" s="113" t="s">
        <v>394</v>
      </c>
      <c r="C27" s="211">
        <v>0</v>
      </c>
      <c r="D27" s="199">
        <f t="shared" ref="D27:D31" si="6">C$23*C27</f>
        <v>0</v>
      </c>
      <c r="E27" s="212">
        <v>0</v>
      </c>
      <c r="F27" s="199">
        <f t="shared" si="4"/>
        <v>0</v>
      </c>
      <c r="G27" s="175">
        <v>0</v>
      </c>
      <c r="H27" s="199">
        <f t="shared" si="5"/>
        <v>0</v>
      </c>
    </row>
    <row r="28" spans="1:8" hidden="1" x14ac:dyDescent="0.35">
      <c r="A28" s="499"/>
      <c r="B28" s="113" t="s">
        <v>477</v>
      </c>
      <c r="C28" s="211">
        <v>0</v>
      </c>
      <c r="D28" s="199">
        <f t="shared" si="6"/>
        <v>0</v>
      </c>
      <c r="E28" s="212"/>
      <c r="F28" s="199">
        <f t="shared" si="4"/>
        <v>0</v>
      </c>
      <c r="G28" s="175">
        <v>0</v>
      </c>
      <c r="H28" s="199">
        <f t="shared" si="5"/>
        <v>0</v>
      </c>
    </row>
    <row r="29" spans="1:8" hidden="1" x14ac:dyDescent="0.35">
      <c r="A29" s="499"/>
      <c r="B29" s="113" t="s">
        <v>690</v>
      </c>
      <c r="C29" s="211">
        <v>0</v>
      </c>
      <c r="D29" s="199">
        <f t="shared" si="6"/>
        <v>0</v>
      </c>
      <c r="E29" s="212">
        <v>5</v>
      </c>
      <c r="F29" s="199">
        <f t="shared" si="4"/>
        <v>0</v>
      </c>
      <c r="G29" s="175">
        <v>0.01</v>
      </c>
      <c r="H29" s="199">
        <f t="shared" si="5"/>
        <v>0</v>
      </c>
    </row>
    <row r="30" spans="1:8" hidden="1" x14ac:dyDescent="0.35">
      <c r="A30" s="499"/>
      <c r="B30" s="113"/>
      <c r="C30" s="211">
        <v>0</v>
      </c>
      <c r="D30" s="199">
        <f t="shared" si="6"/>
        <v>0</v>
      </c>
      <c r="E30" s="212"/>
      <c r="F30" s="199">
        <f t="shared" si="4"/>
        <v>0</v>
      </c>
      <c r="G30" s="175">
        <v>0</v>
      </c>
      <c r="H30" s="199">
        <f t="shared" si="5"/>
        <v>0</v>
      </c>
    </row>
    <row r="31" spans="1:8" hidden="1" x14ac:dyDescent="0.35">
      <c r="A31" s="499"/>
      <c r="B31" s="113"/>
      <c r="C31" s="211">
        <v>0</v>
      </c>
      <c r="D31" s="199">
        <f t="shared" si="6"/>
        <v>0</v>
      </c>
      <c r="E31" s="212"/>
      <c r="F31" s="199">
        <f t="shared" si="4"/>
        <v>0</v>
      </c>
      <c r="G31" s="175">
        <v>0</v>
      </c>
      <c r="H31" s="199">
        <f t="shared" si="5"/>
        <v>0</v>
      </c>
    </row>
    <row r="32" spans="1:8" hidden="1" x14ac:dyDescent="0.35">
      <c r="A32" s="213" t="s">
        <v>478</v>
      </c>
      <c r="B32" s="214">
        <v>0.1</v>
      </c>
      <c r="C32" s="125">
        <f>B9*B32</f>
        <v>499.5</v>
      </c>
      <c r="D32" s="199"/>
      <c r="E32" s="212"/>
      <c r="F32" s="199"/>
      <c r="G32" s="175"/>
      <c r="H32" s="199"/>
    </row>
    <row r="33" spans="1:8" hidden="1" x14ac:dyDescent="0.35">
      <c r="A33" s="216" t="s">
        <v>462</v>
      </c>
      <c r="B33" s="113" t="s">
        <v>163</v>
      </c>
      <c r="C33" s="211">
        <v>0</v>
      </c>
      <c r="D33" s="199">
        <f>C$32*C33</f>
        <v>0</v>
      </c>
      <c r="E33" s="212">
        <v>7</v>
      </c>
      <c r="F33" s="199">
        <f t="shared" si="4"/>
        <v>0</v>
      </c>
      <c r="G33" s="175">
        <v>0.01</v>
      </c>
      <c r="H33" s="199">
        <f t="shared" si="5"/>
        <v>0</v>
      </c>
    </row>
    <row r="34" spans="1:8" hidden="1" x14ac:dyDescent="0.35">
      <c r="A34" s="217"/>
      <c r="B34" s="113"/>
      <c r="C34" s="211">
        <v>0</v>
      </c>
      <c r="D34" s="199">
        <f>C$32*C34</f>
        <v>0</v>
      </c>
      <c r="E34" s="212"/>
      <c r="F34" s="199">
        <f t="shared" si="4"/>
        <v>0</v>
      </c>
      <c r="G34" s="175">
        <v>0.01</v>
      </c>
      <c r="H34" s="199">
        <f t="shared" si="5"/>
        <v>0</v>
      </c>
    </row>
    <row r="35" spans="1:8" hidden="1" x14ac:dyDescent="0.35">
      <c r="A35" s="217"/>
      <c r="B35" s="113"/>
      <c r="C35" s="211">
        <v>0</v>
      </c>
      <c r="D35" s="199">
        <f>C$32*C35</f>
        <v>0</v>
      </c>
      <c r="E35" s="212"/>
      <c r="F35" s="199">
        <f t="shared" si="4"/>
        <v>0</v>
      </c>
      <c r="G35" s="175">
        <v>0</v>
      </c>
      <c r="H35" s="199">
        <f t="shared" si="5"/>
        <v>0</v>
      </c>
    </row>
    <row r="36" spans="1:8" hidden="1" x14ac:dyDescent="0.35">
      <c r="A36" s="218"/>
      <c r="B36" s="113"/>
      <c r="C36" s="211">
        <v>0</v>
      </c>
      <c r="D36" s="199">
        <f>C$32*C36</f>
        <v>0</v>
      </c>
      <c r="E36" s="212"/>
      <c r="F36" s="112">
        <f t="shared" si="4"/>
        <v>0</v>
      </c>
      <c r="G36" s="175">
        <v>0</v>
      </c>
      <c r="H36" s="199">
        <f t="shared" si="5"/>
        <v>0</v>
      </c>
    </row>
    <row r="37" spans="1:8" x14ac:dyDescent="0.35">
      <c r="A37" s="466" t="s">
        <v>398</v>
      </c>
      <c r="B37" s="466"/>
      <c r="C37" s="466"/>
      <c r="D37" s="466"/>
      <c r="E37" s="466"/>
      <c r="F37" s="466"/>
      <c r="G37" s="466"/>
      <c r="H37" s="466"/>
    </row>
    <row r="39" spans="1:8" x14ac:dyDescent="0.35">
      <c r="A39" s="467" t="s">
        <v>557</v>
      </c>
      <c r="B39" s="468"/>
      <c r="C39" s="468"/>
      <c r="D39" s="468"/>
      <c r="E39" s="468"/>
      <c r="F39" s="468"/>
      <c r="G39" s="468"/>
      <c r="H39" s="469"/>
    </row>
    <row r="40" spans="1:8" x14ac:dyDescent="0.35">
      <c r="A40" s="470" t="s">
        <v>0</v>
      </c>
      <c r="B40" s="219">
        <v>0.5</v>
      </c>
      <c r="C40" s="219">
        <f>B40+0.05</f>
        <v>0.55000000000000004</v>
      </c>
      <c r="D40" s="219">
        <f t="shared" ref="D40:G40" si="7">C40+0.05</f>
        <v>0.60000000000000009</v>
      </c>
      <c r="E40" s="219">
        <f t="shared" si="7"/>
        <v>0.65000000000000013</v>
      </c>
      <c r="F40" s="219">
        <f t="shared" si="7"/>
        <v>0.70000000000000018</v>
      </c>
      <c r="G40" s="219">
        <f t="shared" si="7"/>
        <v>0.75000000000000022</v>
      </c>
      <c r="H40" s="219">
        <f>G40+0.05</f>
        <v>0.80000000000000027</v>
      </c>
    </row>
    <row r="41" spans="1:8" x14ac:dyDescent="0.35">
      <c r="A41" s="471"/>
      <c r="B41" s="195" t="s">
        <v>2</v>
      </c>
      <c r="C41" s="195" t="s">
        <v>3</v>
      </c>
      <c r="D41" s="195" t="s">
        <v>4</v>
      </c>
      <c r="E41" s="195" t="s">
        <v>5</v>
      </c>
      <c r="F41" s="195" t="s">
        <v>6</v>
      </c>
      <c r="G41" s="195" t="s">
        <v>165</v>
      </c>
      <c r="H41" s="195" t="s">
        <v>164</v>
      </c>
    </row>
    <row r="42" spans="1:8" x14ac:dyDescent="0.35">
      <c r="A42" s="112" t="str">
        <f t="shared" ref="A42:A50" si="8">B14</f>
        <v>Soybean</v>
      </c>
      <c r="B42" s="115">
        <f>H14*$B$40</f>
        <v>12980.75625</v>
      </c>
      <c r="C42" s="115">
        <f t="shared" ref="C42:H51" si="9">(B42/B$40)*C$40</f>
        <v>14278.831875000002</v>
      </c>
      <c r="D42" s="115">
        <f t="shared" si="9"/>
        <v>15576.907500000003</v>
      </c>
      <c r="E42" s="115">
        <f t="shared" si="9"/>
        <v>16874.983125000002</v>
      </c>
      <c r="F42" s="115">
        <f t="shared" si="9"/>
        <v>18173.058750000004</v>
      </c>
      <c r="G42" s="115">
        <f t="shared" si="9"/>
        <v>19471.134375000005</v>
      </c>
      <c r="H42" s="115">
        <f t="shared" si="9"/>
        <v>20769.210000000006</v>
      </c>
    </row>
    <row r="43" spans="1:8" x14ac:dyDescent="0.35">
      <c r="A43" s="112" t="str">
        <f t="shared" si="8"/>
        <v>Tur</v>
      </c>
      <c r="B43" s="115">
        <f t="shared" ref="B43:B50" si="10">H15*$B$40</f>
        <v>1660.8375000000001</v>
      </c>
      <c r="C43" s="115">
        <f t="shared" si="9"/>
        <v>1826.9212500000003</v>
      </c>
      <c r="D43" s="115">
        <f t="shared" si="9"/>
        <v>1993.0050000000003</v>
      </c>
      <c r="E43" s="115">
        <f t="shared" si="9"/>
        <v>2159.0887500000003</v>
      </c>
      <c r="F43" s="115">
        <f t="shared" si="9"/>
        <v>2325.1725000000006</v>
      </c>
      <c r="G43" s="115">
        <f t="shared" si="9"/>
        <v>2491.2562500000008</v>
      </c>
      <c r="H43" s="115">
        <f t="shared" si="9"/>
        <v>2657.3400000000011</v>
      </c>
    </row>
    <row r="44" spans="1:8" hidden="1" x14ac:dyDescent="0.35">
      <c r="A44" s="112" t="str">
        <f t="shared" si="8"/>
        <v>Turmeric</v>
      </c>
      <c r="B44" s="115">
        <f t="shared" si="10"/>
        <v>0</v>
      </c>
      <c r="C44" s="115">
        <f t="shared" si="9"/>
        <v>0</v>
      </c>
      <c r="D44" s="115">
        <f t="shared" si="9"/>
        <v>0</v>
      </c>
      <c r="E44" s="115">
        <f t="shared" si="9"/>
        <v>0</v>
      </c>
      <c r="F44" s="115">
        <f t="shared" si="9"/>
        <v>0</v>
      </c>
      <c r="G44" s="115">
        <f t="shared" si="9"/>
        <v>0</v>
      </c>
      <c r="H44" s="115">
        <f t="shared" si="9"/>
        <v>0</v>
      </c>
    </row>
    <row r="45" spans="1:8" x14ac:dyDescent="0.35">
      <c r="A45" s="112" t="str">
        <f t="shared" si="8"/>
        <v>Moong</v>
      </c>
      <c r="B45" s="115">
        <f t="shared" si="10"/>
        <v>865.38374999999996</v>
      </c>
      <c r="C45" s="115">
        <f t="shared" si="9"/>
        <v>951.92212500000005</v>
      </c>
      <c r="D45" s="115">
        <f t="shared" si="9"/>
        <v>1038.4605000000001</v>
      </c>
      <c r="E45" s="115">
        <f t="shared" si="9"/>
        <v>1124.9988750000002</v>
      </c>
      <c r="F45" s="115">
        <f t="shared" si="9"/>
        <v>1211.5372500000003</v>
      </c>
      <c r="G45" s="115">
        <f t="shared" si="9"/>
        <v>1298.0756250000004</v>
      </c>
      <c r="H45" s="115">
        <f t="shared" si="9"/>
        <v>1384.6140000000005</v>
      </c>
    </row>
    <row r="46" spans="1:8" hidden="1" x14ac:dyDescent="0.35">
      <c r="A46" s="112" t="str">
        <f t="shared" si="8"/>
        <v>Maize</v>
      </c>
      <c r="B46" s="115">
        <f t="shared" si="10"/>
        <v>0</v>
      </c>
      <c r="C46" s="115">
        <f t="shared" si="9"/>
        <v>0</v>
      </c>
      <c r="D46" s="115">
        <f t="shared" si="9"/>
        <v>0</v>
      </c>
      <c r="E46" s="115">
        <f t="shared" si="9"/>
        <v>0</v>
      </c>
      <c r="F46" s="115">
        <f t="shared" si="9"/>
        <v>0</v>
      </c>
      <c r="G46" s="115">
        <f t="shared" si="9"/>
        <v>0</v>
      </c>
      <c r="H46" s="115">
        <f t="shared" si="9"/>
        <v>0</v>
      </c>
    </row>
    <row r="47" spans="1:8" x14ac:dyDescent="0.35">
      <c r="A47" s="112" t="str">
        <f t="shared" si="8"/>
        <v>Udid</v>
      </c>
      <c r="B47" s="115">
        <f t="shared" si="10"/>
        <v>865.38374999999996</v>
      </c>
      <c r="C47" s="115">
        <f t="shared" si="9"/>
        <v>951.92212500000005</v>
      </c>
      <c r="D47" s="115">
        <f t="shared" si="9"/>
        <v>1038.4605000000001</v>
      </c>
      <c r="E47" s="115">
        <f t="shared" si="9"/>
        <v>1124.9988750000002</v>
      </c>
      <c r="F47" s="115">
        <f t="shared" si="9"/>
        <v>1211.5372500000003</v>
      </c>
      <c r="G47" s="115">
        <f t="shared" si="9"/>
        <v>1298.0756250000004</v>
      </c>
      <c r="H47" s="115">
        <f t="shared" si="9"/>
        <v>1384.6140000000005</v>
      </c>
    </row>
    <row r="48" spans="1:8" hidden="1" x14ac:dyDescent="0.35">
      <c r="A48" s="112" t="str">
        <f t="shared" si="8"/>
        <v>Bajra</v>
      </c>
      <c r="B48" s="115">
        <f t="shared" si="10"/>
        <v>0</v>
      </c>
      <c r="C48" s="115">
        <f t="shared" si="9"/>
        <v>0</v>
      </c>
      <c r="D48" s="115">
        <f t="shared" si="9"/>
        <v>0</v>
      </c>
      <c r="E48" s="115">
        <f t="shared" si="9"/>
        <v>0</v>
      </c>
      <c r="F48" s="115">
        <f t="shared" si="9"/>
        <v>0</v>
      </c>
      <c r="G48" s="115">
        <f t="shared" si="9"/>
        <v>0</v>
      </c>
      <c r="H48" s="115">
        <f t="shared" si="9"/>
        <v>0</v>
      </c>
    </row>
    <row r="49" spans="1:8" x14ac:dyDescent="0.35">
      <c r="A49" s="112" t="str">
        <f t="shared" si="8"/>
        <v>Jawar</v>
      </c>
      <c r="B49" s="115">
        <f>H21*$B$40</f>
        <v>847.90125</v>
      </c>
      <c r="C49" s="115">
        <f t="shared" si="9"/>
        <v>932.69137500000011</v>
      </c>
      <c r="D49" s="115">
        <f t="shared" si="9"/>
        <v>1017.4815000000002</v>
      </c>
      <c r="E49" s="115">
        <f t="shared" si="9"/>
        <v>1102.2716250000003</v>
      </c>
      <c r="F49" s="115">
        <f t="shared" si="9"/>
        <v>1187.0617500000005</v>
      </c>
      <c r="G49" s="115">
        <f t="shared" si="9"/>
        <v>1271.8518750000005</v>
      </c>
      <c r="H49" s="115">
        <f t="shared" si="9"/>
        <v>1356.6420000000007</v>
      </c>
    </row>
    <row r="50" spans="1:8" hidden="1" x14ac:dyDescent="0.35">
      <c r="A50" s="112">
        <f t="shared" si="8"/>
        <v>0</v>
      </c>
      <c r="B50" s="115">
        <f t="shared" si="10"/>
        <v>0</v>
      </c>
      <c r="C50" s="115">
        <f t="shared" si="9"/>
        <v>0</v>
      </c>
      <c r="D50" s="115">
        <f t="shared" si="9"/>
        <v>0</v>
      </c>
      <c r="E50" s="115">
        <f t="shared" si="9"/>
        <v>0</v>
      </c>
      <c r="F50" s="115">
        <f t="shared" si="9"/>
        <v>0</v>
      </c>
      <c r="G50" s="115">
        <f t="shared" si="9"/>
        <v>0</v>
      </c>
      <c r="H50" s="115">
        <f t="shared" si="9"/>
        <v>0</v>
      </c>
    </row>
    <row r="51" spans="1:8" x14ac:dyDescent="0.35">
      <c r="A51" s="112" t="str">
        <f t="shared" ref="A51:A58" si="11">B24</f>
        <v>Wheat</v>
      </c>
      <c r="B51" s="115">
        <f t="shared" ref="B51:B58" si="12">H24*$B$40</f>
        <v>1708.29</v>
      </c>
      <c r="C51" s="115">
        <f t="shared" si="9"/>
        <v>1879.1190000000001</v>
      </c>
      <c r="D51" s="115">
        <f t="shared" si="9"/>
        <v>2049.9480000000003</v>
      </c>
      <c r="E51" s="115">
        <f t="shared" si="9"/>
        <v>2220.7770000000005</v>
      </c>
      <c r="F51" s="115">
        <f t="shared" si="9"/>
        <v>2391.6060000000007</v>
      </c>
      <c r="G51" s="115">
        <f t="shared" si="9"/>
        <v>2562.4350000000009</v>
      </c>
      <c r="H51" s="115">
        <f t="shared" si="9"/>
        <v>2733.264000000001</v>
      </c>
    </row>
    <row r="52" spans="1:8" x14ac:dyDescent="0.35">
      <c r="A52" s="112" t="str">
        <f t="shared" si="11"/>
        <v>Channa</v>
      </c>
      <c r="B52" s="115">
        <f>H25*$B$40</f>
        <v>5979.0150000000003</v>
      </c>
      <c r="C52" s="115">
        <f t="shared" ref="C52:H61" si="13">(B52/B$40)*C$40</f>
        <v>6576.9165000000012</v>
      </c>
      <c r="D52" s="115">
        <f t="shared" si="13"/>
        <v>7174.8180000000011</v>
      </c>
      <c r="E52" s="115">
        <f t="shared" si="13"/>
        <v>7772.719500000002</v>
      </c>
      <c r="F52" s="115">
        <f t="shared" si="13"/>
        <v>8370.6210000000028</v>
      </c>
      <c r="G52" s="115">
        <f t="shared" si="13"/>
        <v>8968.5225000000028</v>
      </c>
      <c r="H52" s="115">
        <f t="shared" si="13"/>
        <v>9566.4240000000045</v>
      </c>
    </row>
    <row r="53" spans="1:8" x14ac:dyDescent="0.35">
      <c r="A53" s="112" t="str">
        <f t="shared" si="11"/>
        <v>Jawar</v>
      </c>
      <c r="B53" s="115">
        <f t="shared" si="12"/>
        <v>1017.4815000000001</v>
      </c>
      <c r="C53" s="115">
        <f t="shared" si="13"/>
        <v>1119.2296500000002</v>
      </c>
      <c r="D53" s="115">
        <f t="shared" si="13"/>
        <v>1220.9778000000003</v>
      </c>
      <c r="E53" s="115">
        <f t="shared" si="13"/>
        <v>1322.7259500000005</v>
      </c>
      <c r="F53" s="115">
        <f t="shared" si="13"/>
        <v>1424.4741000000006</v>
      </c>
      <c r="G53" s="115">
        <f t="shared" si="13"/>
        <v>1526.2222500000007</v>
      </c>
      <c r="H53" s="115">
        <f t="shared" si="13"/>
        <v>1627.9704000000008</v>
      </c>
    </row>
    <row r="54" spans="1:8" hidden="1" x14ac:dyDescent="0.35">
      <c r="A54" s="112" t="str">
        <f t="shared" si="11"/>
        <v>Maize</v>
      </c>
      <c r="B54" s="115">
        <f t="shared" si="12"/>
        <v>0</v>
      </c>
      <c r="C54" s="115">
        <f t="shared" si="13"/>
        <v>0</v>
      </c>
      <c r="D54" s="115">
        <f t="shared" si="13"/>
        <v>0</v>
      </c>
      <c r="E54" s="115">
        <f t="shared" si="13"/>
        <v>0</v>
      </c>
      <c r="F54" s="115">
        <f t="shared" si="13"/>
        <v>0</v>
      </c>
      <c r="G54" s="115">
        <f t="shared" si="13"/>
        <v>0</v>
      </c>
      <c r="H54" s="115">
        <f t="shared" si="13"/>
        <v>0</v>
      </c>
    </row>
    <row r="55" spans="1:8" hidden="1" x14ac:dyDescent="0.35">
      <c r="A55" s="112" t="str">
        <f t="shared" si="11"/>
        <v>Safflower</v>
      </c>
      <c r="B55" s="115">
        <f t="shared" si="12"/>
        <v>0</v>
      </c>
      <c r="C55" s="115">
        <f t="shared" si="13"/>
        <v>0</v>
      </c>
      <c r="D55" s="115">
        <f t="shared" si="13"/>
        <v>0</v>
      </c>
      <c r="E55" s="115">
        <f t="shared" si="13"/>
        <v>0</v>
      </c>
      <c r="F55" s="115">
        <f t="shared" si="13"/>
        <v>0</v>
      </c>
      <c r="G55" s="115">
        <f t="shared" si="13"/>
        <v>0</v>
      </c>
      <c r="H55" s="115">
        <f t="shared" si="13"/>
        <v>0</v>
      </c>
    </row>
    <row r="56" spans="1:8" hidden="1" x14ac:dyDescent="0.35">
      <c r="A56" s="112" t="str">
        <f t="shared" si="11"/>
        <v>Groundnut</v>
      </c>
      <c r="B56" s="115">
        <f t="shared" si="12"/>
        <v>0</v>
      </c>
      <c r="C56" s="115">
        <f t="shared" si="13"/>
        <v>0</v>
      </c>
      <c r="D56" s="115">
        <f t="shared" si="13"/>
        <v>0</v>
      </c>
      <c r="E56" s="115">
        <f t="shared" si="13"/>
        <v>0</v>
      </c>
      <c r="F56" s="115">
        <f t="shared" si="13"/>
        <v>0</v>
      </c>
      <c r="G56" s="115">
        <f t="shared" si="13"/>
        <v>0</v>
      </c>
      <c r="H56" s="115">
        <f t="shared" si="13"/>
        <v>0</v>
      </c>
    </row>
    <row r="57" spans="1:8" hidden="1" x14ac:dyDescent="0.35">
      <c r="A57" s="112">
        <f t="shared" si="11"/>
        <v>0</v>
      </c>
      <c r="B57" s="115">
        <f t="shared" si="12"/>
        <v>0</v>
      </c>
      <c r="C57" s="115">
        <f t="shared" si="13"/>
        <v>0</v>
      </c>
      <c r="D57" s="115">
        <f t="shared" si="13"/>
        <v>0</v>
      </c>
      <c r="E57" s="115">
        <f t="shared" si="13"/>
        <v>0</v>
      </c>
      <c r="F57" s="115">
        <f t="shared" si="13"/>
        <v>0</v>
      </c>
      <c r="G57" s="115">
        <f t="shared" si="13"/>
        <v>0</v>
      </c>
      <c r="H57" s="115">
        <f t="shared" si="13"/>
        <v>0</v>
      </c>
    </row>
    <row r="58" spans="1:8" hidden="1" x14ac:dyDescent="0.35">
      <c r="A58" s="112">
        <f t="shared" si="11"/>
        <v>0</v>
      </c>
      <c r="B58" s="115">
        <f t="shared" si="12"/>
        <v>0</v>
      </c>
      <c r="C58" s="115">
        <f t="shared" si="13"/>
        <v>0</v>
      </c>
      <c r="D58" s="115">
        <f t="shared" si="13"/>
        <v>0</v>
      </c>
      <c r="E58" s="115">
        <f t="shared" si="13"/>
        <v>0</v>
      </c>
      <c r="F58" s="115">
        <f t="shared" si="13"/>
        <v>0</v>
      </c>
      <c r="G58" s="115">
        <f t="shared" si="13"/>
        <v>0</v>
      </c>
      <c r="H58" s="115">
        <f t="shared" si="13"/>
        <v>0</v>
      </c>
    </row>
    <row r="59" spans="1:8" hidden="1" x14ac:dyDescent="0.35">
      <c r="A59" s="112" t="str">
        <f>B33</f>
        <v>Soybean</v>
      </c>
      <c r="B59" s="115">
        <f>H33*$B$40</f>
        <v>0</v>
      </c>
      <c r="C59" s="115">
        <f t="shared" si="13"/>
        <v>0</v>
      </c>
      <c r="D59" s="115">
        <f t="shared" si="13"/>
        <v>0</v>
      </c>
      <c r="E59" s="115">
        <f t="shared" si="13"/>
        <v>0</v>
      </c>
      <c r="F59" s="115">
        <f t="shared" si="13"/>
        <v>0</v>
      </c>
      <c r="G59" s="115">
        <f t="shared" si="13"/>
        <v>0</v>
      </c>
      <c r="H59" s="115">
        <f t="shared" si="13"/>
        <v>0</v>
      </c>
    </row>
    <row r="60" spans="1:8" hidden="1" x14ac:dyDescent="0.35">
      <c r="A60" s="112">
        <f>B34</f>
        <v>0</v>
      </c>
      <c r="B60" s="115">
        <f>H34*$B$40</f>
        <v>0</v>
      </c>
      <c r="C60" s="115">
        <f t="shared" si="13"/>
        <v>0</v>
      </c>
      <c r="D60" s="115">
        <f t="shared" si="13"/>
        <v>0</v>
      </c>
      <c r="E60" s="115">
        <f t="shared" si="13"/>
        <v>0</v>
      </c>
      <c r="F60" s="115">
        <f t="shared" si="13"/>
        <v>0</v>
      </c>
      <c r="G60" s="115">
        <f t="shared" si="13"/>
        <v>0</v>
      </c>
      <c r="H60" s="115">
        <f t="shared" si="13"/>
        <v>0</v>
      </c>
    </row>
    <row r="61" spans="1:8" hidden="1" x14ac:dyDescent="0.35">
      <c r="A61" s="112">
        <f>B35</f>
        <v>0</v>
      </c>
      <c r="B61" s="115">
        <f>H35*$B$40</f>
        <v>0</v>
      </c>
      <c r="C61" s="115">
        <f t="shared" si="13"/>
        <v>0</v>
      </c>
      <c r="D61" s="115">
        <f t="shared" si="13"/>
        <v>0</v>
      </c>
      <c r="E61" s="115">
        <f t="shared" si="13"/>
        <v>0</v>
      </c>
      <c r="F61" s="115">
        <f t="shared" si="13"/>
        <v>0</v>
      </c>
      <c r="G61" s="115">
        <f t="shared" si="13"/>
        <v>0</v>
      </c>
      <c r="H61" s="115">
        <f t="shared" si="13"/>
        <v>0</v>
      </c>
    </row>
    <row r="62" spans="1:8" hidden="1" x14ac:dyDescent="0.35">
      <c r="A62" s="112">
        <f>B36</f>
        <v>0</v>
      </c>
      <c r="B62" s="115">
        <f>H36*$B$40</f>
        <v>0</v>
      </c>
      <c r="C62" s="115">
        <f t="shared" ref="C62:H62" si="14">(B62/B$40)*C$40</f>
        <v>0</v>
      </c>
      <c r="D62" s="115">
        <f t="shared" si="14"/>
        <v>0</v>
      </c>
      <c r="E62" s="115">
        <f t="shared" si="14"/>
        <v>0</v>
      </c>
      <c r="F62" s="115">
        <f t="shared" si="14"/>
        <v>0</v>
      </c>
      <c r="G62" s="115">
        <f t="shared" si="14"/>
        <v>0</v>
      </c>
      <c r="H62" s="115">
        <f t="shared" si="14"/>
        <v>0</v>
      </c>
    </row>
    <row r="63" spans="1:8" hidden="1" x14ac:dyDescent="0.35"/>
    <row r="64" spans="1:8" hidden="1" x14ac:dyDescent="0.35">
      <c r="A64" s="472" t="s">
        <v>558</v>
      </c>
      <c r="B64" s="473"/>
      <c r="C64" s="473"/>
      <c r="D64" s="473"/>
      <c r="E64" s="473"/>
      <c r="F64" s="473"/>
      <c r="G64" s="473"/>
      <c r="H64" s="474"/>
    </row>
    <row r="65" spans="1:8" hidden="1" x14ac:dyDescent="0.35">
      <c r="A65" s="475" t="s">
        <v>0</v>
      </c>
      <c r="B65" s="220">
        <v>1E-4</v>
      </c>
      <c r="C65" s="220">
        <v>1E-4</v>
      </c>
      <c r="D65" s="220">
        <v>1E-4</v>
      </c>
      <c r="E65" s="220">
        <v>1E-4</v>
      </c>
      <c r="F65" s="220">
        <v>1E-4</v>
      </c>
      <c r="G65" s="220">
        <v>1E-4</v>
      </c>
      <c r="H65" s="220">
        <v>1E-4</v>
      </c>
    </row>
    <row r="66" spans="1:8" hidden="1" x14ac:dyDescent="0.35">
      <c r="A66" s="476"/>
      <c r="B66" s="195" t="s">
        <v>2</v>
      </c>
      <c r="C66" s="195" t="s">
        <v>3</v>
      </c>
      <c r="D66" s="195" t="s">
        <v>4</v>
      </c>
      <c r="E66" s="195" t="s">
        <v>5</v>
      </c>
      <c r="F66" s="195" t="s">
        <v>6</v>
      </c>
      <c r="G66" s="195" t="s">
        <v>165</v>
      </c>
      <c r="H66" s="195" t="s">
        <v>164</v>
      </c>
    </row>
    <row r="67" spans="1:8" s="119" customFormat="1" hidden="1" x14ac:dyDescent="0.35">
      <c r="A67" s="112" t="str">
        <f t="shared" ref="A67:A87" si="15">A42</f>
        <v>Soybean</v>
      </c>
      <c r="B67" s="112">
        <f>H14*$B$65*0</f>
        <v>0</v>
      </c>
      <c r="C67" s="112">
        <f>(B67/B$65)*C$65</f>
        <v>0</v>
      </c>
      <c r="D67" s="112">
        <f t="shared" ref="D67:H68" si="16">(C67/C$65)*D$65</f>
        <v>0</v>
      </c>
      <c r="E67" s="112">
        <f t="shared" si="16"/>
        <v>0</v>
      </c>
      <c r="F67" s="112">
        <f t="shared" si="16"/>
        <v>0</v>
      </c>
      <c r="G67" s="112">
        <f t="shared" si="16"/>
        <v>0</v>
      </c>
      <c r="H67" s="112">
        <f t="shared" si="16"/>
        <v>0</v>
      </c>
    </row>
    <row r="68" spans="1:8" hidden="1" x14ac:dyDescent="0.35">
      <c r="A68" s="112" t="str">
        <f t="shared" si="15"/>
        <v>Tur</v>
      </c>
      <c r="B68" s="112">
        <f>H15*$B$65*0</f>
        <v>0</v>
      </c>
      <c r="C68" s="112">
        <f>(B68/B$65)*C$65</f>
        <v>0</v>
      </c>
      <c r="D68" s="112">
        <f t="shared" si="16"/>
        <v>0</v>
      </c>
      <c r="E68" s="112">
        <f t="shared" si="16"/>
        <v>0</v>
      </c>
      <c r="F68" s="112">
        <f t="shared" si="16"/>
        <v>0</v>
      </c>
      <c r="G68" s="112">
        <f t="shared" si="16"/>
        <v>0</v>
      </c>
      <c r="H68" s="112">
        <f t="shared" si="16"/>
        <v>0</v>
      </c>
    </row>
    <row r="69" spans="1:8" hidden="1" x14ac:dyDescent="0.35">
      <c r="A69" s="112" t="str">
        <f t="shared" si="15"/>
        <v>Turmeric</v>
      </c>
      <c r="B69" s="112">
        <f t="shared" ref="B69:B75" si="17">H16*$B$65</f>
        <v>0</v>
      </c>
      <c r="C69" s="112">
        <f t="shared" ref="C69:H69" si="18">(B69/B$65)*C$65</f>
        <v>0</v>
      </c>
      <c r="D69" s="112">
        <f t="shared" si="18"/>
        <v>0</v>
      </c>
      <c r="E69" s="112">
        <f t="shared" si="18"/>
        <v>0</v>
      </c>
      <c r="F69" s="112">
        <f t="shared" si="18"/>
        <v>0</v>
      </c>
      <c r="G69" s="112">
        <f t="shared" si="18"/>
        <v>0</v>
      </c>
      <c r="H69" s="112">
        <f t="shared" si="18"/>
        <v>0</v>
      </c>
    </row>
    <row r="70" spans="1:8" hidden="1" x14ac:dyDescent="0.35">
      <c r="A70" s="112" t="str">
        <f t="shared" si="15"/>
        <v>Moong</v>
      </c>
      <c r="B70" s="112">
        <f>H17*$B$65*0</f>
        <v>0</v>
      </c>
      <c r="C70" s="112">
        <f t="shared" ref="C70:H70" si="19">(B70/B$65)*C$65</f>
        <v>0</v>
      </c>
      <c r="D70" s="112">
        <f t="shared" si="19"/>
        <v>0</v>
      </c>
      <c r="E70" s="112">
        <f t="shared" si="19"/>
        <v>0</v>
      </c>
      <c r="F70" s="112">
        <f t="shared" si="19"/>
        <v>0</v>
      </c>
      <c r="G70" s="112">
        <f t="shared" si="19"/>
        <v>0</v>
      </c>
      <c r="H70" s="112">
        <f t="shared" si="19"/>
        <v>0</v>
      </c>
    </row>
    <row r="71" spans="1:8" hidden="1" x14ac:dyDescent="0.35">
      <c r="A71" s="112" t="str">
        <f t="shared" si="15"/>
        <v>Maize</v>
      </c>
      <c r="B71" s="112">
        <f t="shared" si="17"/>
        <v>0</v>
      </c>
      <c r="C71" s="112">
        <f t="shared" ref="C71:H71" si="20">(B71/B$65)*C$65</f>
        <v>0</v>
      </c>
      <c r="D71" s="112">
        <f t="shared" si="20"/>
        <v>0</v>
      </c>
      <c r="E71" s="112">
        <f t="shared" si="20"/>
        <v>0</v>
      </c>
      <c r="F71" s="112">
        <f t="shared" si="20"/>
        <v>0</v>
      </c>
      <c r="G71" s="112">
        <f t="shared" si="20"/>
        <v>0</v>
      </c>
      <c r="H71" s="112">
        <f t="shared" si="20"/>
        <v>0</v>
      </c>
    </row>
    <row r="72" spans="1:8" hidden="1" x14ac:dyDescent="0.35">
      <c r="A72" s="112" t="str">
        <f t="shared" si="15"/>
        <v>Udid</v>
      </c>
      <c r="B72" s="112">
        <f>H19*$B$65*0</f>
        <v>0</v>
      </c>
      <c r="C72" s="112">
        <f t="shared" ref="C72:H72" si="21">(B72/B$65)*C$65</f>
        <v>0</v>
      </c>
      <c r="D72" s="112">
        <f t="shared" si="21"/>
        <v>0</v>
      </c>
      <c r="E72" s="112">
        <f t="shared" si="21"/>
        <v>0</v>
      </c>
      <c r="F72" s="112">
        <f t="shared" si="21"/>
        <v>0</v>
      </c>
      <c r="G72" s="112">
        <f t="shared" si="21"/>
        <v>0</v>
      </c>
      <c r="H72" s="112">
        <f t="shared" si="21"/>
        <v>0</v>
      </c>
    </row>
    <row r="73" spans="1:8" hidden="1" x14ac:dyDescent="0.35">
      <c r="A73" s="112" t="str">
        <f t="shared" si="15"/>
        <v>Bajra</v>
      </c>
      <c r="B73" s="112">
        <f t="shared" si="17"/>
        <v>0</v>
      </c>
      <c r="C73" s="112">
        <f t="shared" ref="C73:H73" si="22">(B73/B$65)*C$65</f>
        <v>0</v>
      </c>
      <c r="D73" s="112">
        <f t="shared" si="22"/>
        <v>0</v>
      </c>
      <c r="E73" s="112">
        <f t="shared" si="22"/>
        <v>0</v>
      </c>
      <c r="F73" s="112">
        <f t="shared" si="22"/>
        <v>0</v>
      </c>
      <c r="G73" s="112">
        <f t="shared" si="22"/>
        <v>0</v>
      </c>
      <c r="H73" s="112">
        <f t="shared" si="22"/>
        <v>0</v>
      </c>
    </row>
    <row r="74" spans="1:8" hidden="1" x14ac:dyDescent="0.35">
      <c r="A74" s="112" t="str">
        <f t="shared" si="15"/>
        <v>Jawar</v>
      </c>
      <c r="B74" s="112">
        <f>H21*$B$65*0</f>
        <v>0</v>
      </c>
      <c r="C74" s="112">
        <f t="shared" ref="C74:H74" si="23">(B74/B$65)*C$65</f>
        <v>0</v>
      </c>
      <c r="D74" s="112">
        <f t="shared" si="23"/>
        <v>0</v>
      </c>
      <c r="E74" s="112">
        <f t="shared" si="23"/>
        <v>0</v>
      </c>
      <c r="F74" s="112">
        <f t="shared" si="23"/>
        <v>0</v>
      </c>
      <c r="G74" s="112">
        <f t="shared" si="23"/>
        <v>0</v>
      </c>
      <c r="H74" s="112">
        <f t="shared" si="23"/>
        <v>0</v>
      </c>
    </row>
    <row r="75" spans="1:8" hidden="1" x14ac:dyDescent="0.35">
      <c r="A75" s="112">
        <f t="shared" si="15"/>
        <v>0</v>
      </c>
      <c r="B75" s="112">
        <f t="shared" si="17"/>
        <v>0</v>
      </c>
      <c r="C75" s="112">
        <f t="shared" ref="C75:H75" si="24">(B75/B$65)*C$65</f>
        <v>0</v>
      </c>
      <c r="D75" s="112">
        <f t="shared" si="24"/>
        <v>0</v>
      </c>
      <c r="E75" s="112">
        <f t="shared" si="24"/>
        <v>0</v>
      </c>
      <c r="F75" s="112">
        <f t="shared" si="24"/>
        <v>0</v>
      </c>
      <c r="G75" s="112">
        <f t="shared" si="24"/>
        <v>0</v>
      </c>
      <c r="H75" s="112">
        <f t="shared" si="24"/>
        <v>0</v>
      </c>
    </row>
    <row r="76" spans="1:8" hidden="1" x14ac:dyDescent="0.35">
      <c r="A76" s="112" t="str">
        <f t="shared" si="15"/>
        <v>Wheat</v>
      </c>
      <c r="B76" s="112">
        <f>H23*$B$65*0</f>
        <v>0</v>
      </c>
      <c r="C76" s="112">
        <f t="shared" ref="C76:H76" si="25">(B76/B$65)*C$65</f>
        <v>0</v>
      </c>
      <c r="D76" s="112">
        <f t="shared" si="25"/>
        <v>0</v>
      </c>
      <c r="E76" s="112">
        <f t="shared" si="25"/>
        <v>0</v>
      </c>
      <c r="F76" s="112">
        <f t="shared" si="25"/>
        <v>0</v>
      </c>
      <c r="G76" s="112">
        <f t="shared" si="25"/>
        <v>0</v>
      </c>
      <c r="H76" s="112">
        <f t="shared" si="25"/>
        <v>0</v>
      </c>
    </row>
    <row r="77" spans="1:8" hidden="1" x14ac:dyDescent="0.35">
      <c r="A77" s="112" t="str">
        <f t="shared" si="15"/>
        <v>Channa</v>
      </c>
      <c r="B77" s="112">
        <f>H24*$B$65*0</f>
        <v>0</v>
      </c>
      <c r="C77" s="112">
        <f t="shared" ref="C77:H77" si="26">(B77/B$65)*C$65</f>
        <v>0</v>
      </c>
      <c r="D77" s="112">
        <f t="shared" si="26"/>
        <v>0</v>
      </c>
      <c r="E77" s="112">
        <f t="shared" si="26"/>
        <v>0</v>
      </c>
      <c r="F77" s="112">
        <f t="shared" si="26"/>
        <v>0</v>
      </c>
      <c r="G77" s="112">
        <f t="shared" si="26"/>
        <v>0</v>
      </c>
      <c r="H77" s="112">
        <f t="shared" si="26"/>
        <v>0</v>
      </c>
    </row>
    <row r="78" spans="1:8" hidden="1" x14ac:dyDescent="0.35">
      <c r="A78" s="112" t="str">
        <f t="shared" si="15"/>
        <v>Jawar</v>
      </c>
      <c r="B78" s="112">
        <f>H25*$B$65*0</f>
        <v>0</v>
      </c>
      <c r="C78" s="112">
        <f t="shared" ref="C78:H78" si="27">(B78/B$65)*C$65</f>
        <v>0</v>
      </c>
      <c r="D78" s="112">
        <f t="shared" si="27"/>
        <v>0</v>
      </c>
      <c r="E78" s="112">
        <f t="shared" si="27"/>
        <v>0</v>
      </c>
      <c r="F78" s="112">
        <f t="shared" si="27"/>
        <v>0</v>
      </c>
      <c r="G78" s="112">
        <f t="shared" si="27"/>
        <v>0</v>
      </c>
      <c r="H78" s="112">
        <f t="shared" si="27"/>
        <v>0</v>
      </c>
    </row>
    <row r="79" spans="1:8" hidden="1" x14ac:dyDescent="0.35">
      <c r="A79" s="112" t="str">
        <f t="shared" si="15"/>
        <v>Maize</v>
      </c>
      <c r="B79" s="112">
        <f t="shared" ref="B79:B83" si="28">H27*$B$65</f>
        <v>0</v>
      </c>
      <c r="C79" s="112">
        <f t="shared" ref="C79:H79" si="29">(B79/B$65)*C$65</f>
        <v>0</v>
      </c>
      <c r="D79" s="112">
        <f t="shared" si="29"/>
        <v>0</v>
      </c>
      <c r="E79" s="112">
        <f t="shared" si="29"/>
        <v>0</v>
      </c>
      <c r="F79" s="112">
        <f t="shared" si="29"/>
        <v>0</v>
      </c>
      <c r="G79" s="112">
        <f t="shared" si="29"/>
        <v>0</v>
      </c>
      <c r="H79" s="112">
        <f t="shared" si="29"/>
        <v>0</v>
      </c>
    </row>
    <row r="80" spans="1:8" hidden="1" x14ac:dyDescent="0.35">
      <c r="A80" s="112" t="str">
        <f t="shared" si="15"/>
        <v>Safflower</v>
      </c>
      <c r="B80" s="112">
        <f t="shared" si="28"/>
        <v>0</v>
      </c>
      <c r="C80" s="112">
        <f t="shared" ref="C80:H80" si="30">(B80/B$65)*C$65</f>
        <v>0</v>
      </c>
      <c r="D80" s="112">
        <f t="shared" si="30"/>
        <v>0</v>
      </c>
      <c r="E80" s="112">
        <f t="shared" si="30"/>
        <v>0</v>
      </c>
      <c r="F80" s="112">
        <f t="shared" si="30"/>
        <v>0</v>
      </c>
      <c r="G80" s="112">
        <f t="shared" si="30"/>
        <v>0</v>
      </c>
      <c r="H80" s="112">
        <f t="shared" si="30"/>
        <v>0</v>
      </c>
    </row>
    <row r="81" spans="1:9" hidden="1" x14ac:dyDescent="0.35">
      <c r="A81" s="112" t="str">
        <f t="shared" si="15"/>
        <v>Groundnut</v>
      </c>
      <c r="B81" s="112">
        <f>H28*$B$65*0</f>
        <v>0</v>
      </c>
      <c r="C81" s="112">
        <f t="shared" ref="C81:H81" si="31">(B81/B$65)*C$65</f>
        <v>0</v>
      </c>
      <c r="D81" s="112">
        <f t="shared" si="31"/>
        <v>0</v>
      </c>
      <c r="E81" s="112">
        <f t="shared" si="31"/>
        <v>0</v>
      </c>
      <c r="F81" s="112">
        <f t="shared" si="31"/>
        <v>0</v>
      </c>
      <c r="G81" s="112">
        <f t="shared" si="31"/>
        <v>0</v>
      </c>
      <c r="H81" s="112">
        <f t="shared" si="31"/>
        <v>0</v>
      </c>
    </row>
    <row r="82" spans="1:9" hidden="1" x14ac:dyDescent="0.35">
      <c r="A82" s="112">
        <f t="shared" si="15"/>
        <v>0</v>
      </c>
      <c r="B82" s="112">
        <f t="shared" si="28"/>
        <v>0</v>
      </c>
      <c r="C82" s="112">
        <f t="shared" ref="C82:H82" si="32">(B82/B$65)*C$65</f>
        <v>0</v>
      </c>
      <c r="D82" s="112">
        <f t="shared" si="32"/>
        <v>0</v>
      </c>
      <c r="E82" s="112">
        <f t="shared" si="32"/>
        <v>0</v>
      </c>
      <c r="F82" s="112">
        <f t="shared" si="32"/>
        <v>0</v>
      </c>
      <c r="G82" s="112">
        <f t="shared" si="32"/>
        <v>0</v>
      </c>
      <c r="H82" s="112">
        <f t="shared" si="32"/>
        <v>0</v>
      </c>
    </row>
    <row r="83" spans="1:9" hidden="1" x14ac:dyDescent="0.35">
      <c r="A83" s="112">
        <f t="shared" si="15"/>
        <v>0</v>
      </c>
      <c r="B83" s="112">
        <f t="shared" si="28"/>
        <v>0</v>
      </c>
      <c r="C83" s="112">
        <f t="shared" ref="C83:H83" si="33">(B83/B$65)*C$65</f>
        <v>0</v>
      </c>
      <c r="D83" s="112">
        <f t="shared" si="33"/>
        <v>0</v>
      </c>
      <c r="E83" s="112">
        <f t="shared" si="33"/>
        <v>0</v>
      </c>
      <c r="F83" s="112">
        <f t="shared" si="33"/>
        <v>0</v>
      </c>
      <c r="G83" s="112">
        <f t="shared" si="33"/>
        <v>0</v>
      </c>
      <c r="H83" s="112">
        <f t="shared" si="33"/>
        <v>0</v>
      </c>
    </row>
    <row r="84" spans="1:9" hidden="1" x14ac:dyDescent="0.35">
      <c r="A84" s="112" t="str">
        <f t="shared" si="15"/>
        <v>Soybean</v>
      </c>
      <c r="B84" s="112">
        <f>H31*$B$65*0</f>
        <v>0</v>
      </c>
      <c r="C84" s="112">
        <f t="shared" ref="C84:H84" si="34">(B84/B$65)*C$65</f>
        <v>0</v>
      </c>
      <c r="D84" s="112">
        <f t="shared" si="34"/>
        <v>0</v>
      </c>
      <c r="E84" s="112">
        <f t="shared" si="34"/>
        <v>0</v>
      </c>
      <c r="F84" s="112">
        <f t="shared" si="34"/>
        <v>0</v>
      </c>
      <c r="G84" s="112">
        <f t="shared" si="34"/>
        <v>0</v>
      </c>
      <c r="H84" s="112">
        <f t="shared" si="34"/>
        <v>0</v>
      </c>
    </row>
    <row r="85" spans="1:9" hidden="1" x14ac:dyDescent="0.35">
      <c r="A85" s="112">
        <f t="shared" si="15"/>
        <v>0</v>
      </c>
      <c r="B85" s="112">
        <f>H34*$B$65</f>
        <v>0</v>
      </c>
      <c r="C85" s="112">
        <f t="shared" ref="C85:H85" si="35">(B85/B$65)*C$65</f>
        <v>0</v>
      </c>
      <c r="D85" s="112">
        <f t="shared" si="35"/>
        <v>0</v>
      </c>
      <c r="E85" s="112">
        <f t="shared" si="35"/>
        <v>0</v>
      </c>
      <c r="F85" s="112">
        <f t="shared" si="35"/>
        <v>0</v>
      </c>
      <c r="G85" s="112">
        <f t="shared" si="35"/>
        <v>0</v>
      </c>
      <c r="H85" s="112">
        <f t="shared" si="35"/>
        <v>0</v>
      </c>
    </row>
    <row r="86" spans="1:9" hidden="1" x14ac:dyDescent="0.35">
      <c r="A86" s="112">
        <f t="shared" si="15"/>
        <v>0</v>
      </c>
      <c r="B86" s="112">
        <f>H35*$B$65</f>
        <v>0</v>
      </c>
      <c r="C86" s="112">
        <f t="shared" ref="C86:H86" si="36">(B86/B$65)*C$65</f>
        <v>0</v>
      </c>
      <c r="D86" s="112">
        <f t="shared" si="36"/>
        <v>0</v>
      </c>
      <c r="E86" s="112">
        <f t="shared" si="36"/>
        <v>0</v>
      </c>
      <c r="F86" s="112">
        <f t="shared" si="36"/>
        <v>0</v>
      </c>
      <c r="G86" s="112">
        <f t="shared" si="36"/>
        <v>0</v>
      </c>
      <c r="H86" s="112">
        <f t="shared" si="36"/>
        <v>0</v>
      </c>
    </row>
    <row r="87" spans="1:9" hidden="1" x14ac:dyDescent="0.35">
      <c r="A87" s="112">
        <f t="shared" si="15"/>
        <v>0</v>
      </c>
      <c r="B87" s="112">
        <f>H36*$B$65</f>
        <v>0</v>
      </c>
      <c r="C87" s="112">
        <f t="shared" ref="C87:H87" si="37">(B87/B$65)*C$65</f>
        <v>0</v>
      </c>
      <c r="D87" s="112">
        <f t="shared" si="37"/>
        <v>0</v>
      </c>
      <c r="E87" s="112">
        <f t="shared" si="37"/>
        <v>0</v>
      </c>
      <c r="F87" s="112">
        <f t="shared" si="37"/>
        <v>0</v>
      </c>
      <c r="G87" s="112">
        <f t="shared" si="37"/>
        <v>0</v>
      </c>
      <c r="H87" s="112">
        <f t="shared" si="37"/>
        <v>0</v>
      </c>
    </row>
    <row r="88" spans="1:9" hidden="1" x14ac:dyDescent="0.35">
      <c r="B88" s="172"/>
      <c r="C88" s="172"/>
      <c r="D88" s="172"/>
      <c r="E88" s="172"/>
      <c r="F88" s="172"/>
      <c r="G88" s="172"/>
      <c r="H88" s="172"/>
      <c r="I88" s="172"/>
    </row>
    <row r="89" spans="1:9" hidden="1" x14ac:dyDescent="0.35">
      <c r="A89" s="472" t="s">
        <v>559</v>
      </c>
      <c r="B89" s="473"/>
      <c r="C89" s="473"/>
      <c r="D89" s="473"/>
      <c r="E89" s="473"/>
      <c r="F89" s="473"/>
      <c r="G89" s="473"/>
      <c r="H89" s="474"/>
    </row>
    <row r="90" spans="1:9" hidden="1" x14ac:dyDescent="0.35">
      <c r="A90" s="464" t="s">
        <v>0</v>
      </c>
      <c r="B90" s="221">
        <v>1.0000000000000001E-37</v>
      </c>
      <c r="C90" s="221">
        <v>9.9999999999999994E-12</v>
      </c>
      <c r="D90" s="221">
        <v>9.9999999999999994E-12</v>
      </c>
      <c r="E90" s="221">
        <v>9.9999999999999994E-12</v>
      </c>
      <c r="F90" s="221">
        <v>9.9999999999999994E-12</v>
      </c>
      <c r="G90" s="221">
        <v>9.9999999999999994E-12</v>
      </c>
      <c r="H90" s="221">
        <v>9.9999999999999994E-12</v>
      </c>
    </row>
    <row r="91" spans="1:9" hidden="1" x14ac:dyDescent="0.35">
      <c r="A91" s="465"/>
      <c r="B91" s="195" t="s">
        <v>2</v>
      </c>
      <c r="C91" s="195" t="s">
        <v>3</v>
      </c>
      <c r="D91" s="195" t="s">
        <v>4</v>
      </c>
      <c r="E91" s="195" t="s">
        <v>5</v>
      </c>
      <c r="F91" s="195" t="s">
        <v>6</v>
      </c>
      <c r="G91" s="195" t="s">
        <v>165</v>
      </c>
      <c r="H91" s="195" t="s">
        <v>164</v>
      </c>
    </row>
    <row r="92" spans="1:9" s="119" customFormat="1" hidden="1" x14ac:dyDescent="0.35">
      <c r="A92" s="112" t="str">
        <f t="shared" ref="A92:A112" si="38">A67</f>
        <v>Soybean</v>
      </c>
      <c r="B92" s="115">
        <f>D14*$B$90</f>
        <v>3.7462500000000004E-34</v>
      </c>
      <c r="C92" s="115">
        <f t="shared" ref="C92:H92" si="39">(B92/B$90)*C$90</f>
        <v>3.7462499999999995E-8</v>
      </c>
      <c r="D92" s="115">
        <f t="shared" si="39"/>
        <v>3.7462499999999995E-8</v>
      </c>
      <c r="E92" s="115">
        <f t="shared" si="39"/>
        <v>3.7462499999999995E-8</v>
      </c>
      <c r="F92" s="115">
        <f t="shared" si="39"/>
        <v>3.7462499999999995E-8</v>
      </c>
      <c r="G92" s="115">
        <f t="shared" si="39"/>
        <v>3.7462499999999995E-8</v>
      </c>
      <c r="H92" s="115">
        <f t="shared" si="39"/>
        <v>3.7462499999999995E-8</v>
      </c>
    </row>
    <row r="93" spans="1:9" hidden="1" x14ac:dyDescent="0.35">
      <c r="A93" s="112" t="str">
        <f t="shared" si="38"/>
        <v>Tur</v>
      </c>
      <c r="B93" s="115">
        <f t="shared" ref="B93:B100" si="40">D15*$B$90</f>
        <v>4.9950000000000006E-35</v>
      </c>
      <c r="C93" s="115">
        <f t="shared" ref="C93:C113" si="41">(B93/B$90)*C$90</f>
        <v>4.9949999999999994E-9</v>
      </c>
      <c r="D93" s="115">
        <f>(C93/C90)*D90</f>
        <v>4.9949999999999994E-9</v>
      </c>
      <c r="E93" s="115">
        <f t="shared" ref="E93:G93" si="42">(D93/D90)*E90</f>
        <v>4.9949999999999994E-9</v>
      </c>
      <c r="F93" s="115">
        <f t="shared" si="42"/>
        <v>4.9949999999999994E-9</v>
      </c>
      <c r="G93" s="115">
        <f t="shared" si="42"/>
        <v>4.9949999999999994E-9</v>
      </c>
      <c r="H93" s="115">
        <f>(G93/G90)*H90</f>
        <v>4.9949999999999994E-9</v>
      </c>
    </row>
    <row r="94" spans="1:9" hidden="1" x14ac:dyDescent="0.35">
      <c r="A94" s="112" t="str">
        <f t="shared" si="38"/>
        <v>Turmeric</v>
      </c>
      <c r="B94" s="115">
        <f t="shared" si="40"/>
        <v>0</v>
      </c>
      <c r="C94" s="115">
        <f t="shared" si="41"/>
        <v>0</v>
      </c>
      <c r="D94" s="115">
        <f t="shared" ref="D94:H103" si="43">(C94/C$90)*D$90</f>
        <v>0</v>
      </c>
      <c r="E94" s="115">
        <f t="shared" si="43"/>
        <v>0</v>
      </c>
      <c r="F94" s="115">
        <f t="shared" si="43"/>
        <v>0</v>
      </c>
      <c r="G94" s="115">
        <f t="shared" si="43"/>
        <v>0</v>
      </c>
      <c r="H94" s="115">
        <f t="shared" si="43"/>
        <v>0</v>
      </c>
    </row>
    <row r="95" spans="1:9" hidden="1" x14ac:dyDescent="0.35">
      <c r="A95" s="112" t="str">
        <f t="shared" si="38"/>
        <v>Moong</v>
      </c>
      <c r="B95" s="115">
        <f t="shared" si="40"/>
        <v>2.4975000000000003E-35</v>
      </c>
      <c r="C95" s="115">
        <f t="shared" si="41"/>
        <v>2.4974999999999997E-9</v>
      </c>
      <c r="D95" s="115">
        <f t="shared" si="43"/>
        <v>2.4974999999999997E-9</v>
      </c>
      <c r="E95" s="115">
        <f t="shared" si="43"/>
        <v>2.4974999999999997E-9</v>
      </c>
      <c r="F95" s="115">
        <f t="shared" si="43"/>
        <v>2.4974999999999997E-9</v>
      </c>
      <c r="G95" s="115">
        <f t="shared" si="43"/>
        <v>2.4974999999999997E-9</v>
      </c>
      <c r="H95" s="115">
        <f t="shared" si="43"/>
        <v>2.4974999999999997E-9</v>
      </c>
    </row>
    <row r="96" spans="1:9" hidden="1" x14ac:dyDescent="0.35">
      <c r="A96" s="112" t="str">
        <f t="shared" si="38"/>
        <v>Maize</v>
      </c>
      <c r="B96" s="115">
        <f t="shared" si="40"/>
        <v>0</v>
      </c>
      <c r="C96" s="115">
        <f t="shared" si="41"/>
        <v>0</v>
      </c>
      <c r="D96" s="115">
        <f t="shared" si="43"/>
        <v>0</v>
      </c>
      <c r="E96" s="115">
        <f t="shared" si="43"/>
        <v>0</v>
      </c>
      <c r="F96" s="115">
        <f t="shared" si="43"/>
        <v>0</v>
      </c>
      <c r="G96" s="115">
        <f t="shared" si="43"/>
        <v>0</v>
      </c>
      <c r="H96" s="115">
        <f t="shared" si="43"/>
        <v>0</v>
      </c>
    </row>
    <row r="97" spans="1:8" hidden="1" x14ac:dyDescent="0.35">
      <c r="A97" s="112" t="str">
        <f t="shared" si="38"/>
        <v>Udid</v>
      </c>
      <c r="B97" s="115">
        <f t="shared" si="40"/>
        <v>2.4975000000000003E-35</v>
      </c>
      <c r="C97" s="115">
        <f t="shared" si="41"/>
        <v>2.4974999999999997E-9</v>
      </c>
      <c r="D97" s="115">
        <f t="shared" si="43"/>
        <v>2.4974999999999997E-9</v>
      </c>
      <c r="E97" s="115">
        <f t="shared" si="43"/>
        <v>2.4974999999999997E-9</v>
      </c>
      <c r="F97" s="115">
        <f t="shared" si="43"/>
        <v>2.4974999999999997E-9</v>
      </c>
      <c r="G97" s="115">
        <f t="shared" si="43"/>
        <v>2.4974999999999997E-9</v>
      </c>
      <c r="H97" s="115">
        <f t="shared" si="43"/>
        <v>2.4974999999999997E-9</v>
      </c>
    </row>
    <row r="98" spans="1:8" hidden="1" x14ac:dyDescent="0.35">
      <c r="A98" s="112" t="str">
        <f t="shared" si="38"/>
        <v>Bajra</v>
      </c>
      <c r="B98" s="115">
        <f t="shared" si="40"/>
        <v>0</v>
      </c>
      <c r="C98" s="115">
        <f t="shared" si="41"/>
        <v>0</v>
      </c>
      <c r="D98" s="115">
        <f t="shared" si="43"/>
        <v>0</v>
      </c>
      <c r="E98" s="115">
        <f t="shared" si="43"/>
        <v>0</v>
      </c>
      <c r="F98" s="115">
        <f t="shared" si="43"/>
        <v>0</v>
      </c>
      <c r="G98" s="115">
        <f t="shared" si="43"/>
        <v>0</v>
      </c>
      <c r="H98" s="115">
        <f t="shared" si="43"/>
        <v>0</v>
      </c>
    </row>
    <row r="99" spans="1:8" hidden="1" x14ac:dyDescent="0.35">
      <c r="A99" s="112" t="str">
        <f t="shared" si="38"/>
        <v>Jawar</v>
      </c>
      <c r="B99" s="115">
        <f t="shared" si="40"/>
        <v>2.4975000000000003E-35</v>
      </c>
      <c r="C99" s="115">
        <f t="shared" si="41"/>
        <v>2.4974999999999997E-9</v>
      </c>
      <c r="D99" s="115">
        <f t="shared" si="43"/>
        <v>2.4974999999999997E-9</v>
      </c>
      <c r="E99" s="115">
        <f t="shared" si="43"/>
        <v>2.4974999999999997E-9</v>
      </c>
      <c r="F99" s="115">
        <f t="shared" si="43"/>
        <v>2.4974999999999997E-9</v>
      </c>
      <c r="G99" s="115">
        <f t="shared" si="43"/>
        <v>2.4974999999999997E-9</v>
      </c>
      <c r="H99" s="115">
        <f t="shared" si="43"/>
        <v>2.4974999999999997E-9</v>
      </c>
    </row>
    <row r="100" spans="1:8" hidden="1" x14ac:dyDescent="0.35">
      <c r="A100" s="112">
        <f t="shared" si="38"/>
        <v>0</v>
      </c>
      <c r="B100" s="115">
        <f t="shared" si="40"/>
        <v>0</v>
      </c>
      <c r="C100" s="115">
        <f t="shared" si="41"/>
        <v>0</v>
      </c>
      <c r="D100" s="115">
        <f t="shared" si="43"/>
        <v>0</v>
      </c>
      <c r="E100" s="115">
        <f t="shared" si="43"/>
        <v>0</v>
      </c>
      <c r="F100" s="115">
        <f t="shared" si="43"/>
        <v>0</v>
      </c>
      <c r="G100" s="115">
        <f t="shared" si="43"/>
        <v>0</v>
      </c>
      <c r="H100" s="115">
        <f t="shared" si="43"/>
        <v>0</v>
      </c>
    </row>
    <row r="101" spans="1:8" hidden="1" x14ac:dyDescent="0.35">
      <c r="A101" s="112" t="str">
        <f t="shared" si="38"/>
        <v>Wheat</v>
      </c>
      <c r="B101" s="115">
        <f t="shared" ref="B101:B108" si="44">D24*$B$90</f>
        <v>4.4955000000000006E-35</v>
      </c>
      <c r="C101" s="115">
        <f t="shared" si="41"/>
        <v>4.4954999999999996E-9</v>
      </c>
      <c r="D101" s="115">
        <f t="shared" si="43"/>
        <v>4.4954999999999996E-9</v>
      </c>
      <c r="E101" s="115">
        <f t="shared" si="43"/>
        <v>4.4954999999999996E-9</v>
      </c>
      <c r="F101" s="115">
        <f t="shared" si="43"/>
        <v>4.4954999999999996E-9</v>
      </c>
      <c r="G101" s="115">
        <f t="shared" si="43"/>
        <v>4.4954999999999996E-9</v>
      </c>
      <c r="H101" s="115">
        <f t="shared" si="43"/>
        <v>4.4954999999999996E-9</v>
      </c>
    </row>
    <row r="102" spans="1:8" hidden="1" x14ac:dyDescent="0.35">
      <c r="A102" s="112" t="str">
        <f t="shared" si="38"/>
        <v>Channa</v>
      </c>
      <c r="B102" s="115">
        <f t="shared" si="44"/>
        <v>2.0979000000000004E-34</v>
      </c>
      <c r="C102" s="115">
        <f t="shared" si="41"/>
        <v>2.0978999999999999E-8</v>
      </c>
      <c r="D102" s="115">
        <f t="shared" si="43"/>
        <v>2.0978999999999999E-8</v>
      </c>
      <c r="E102" s="115">
        <f t="shared" si="43"/>
        <v>2.0978999999999999E-8</v>
      </c>
      <c r="F102" s="115">
        <f t="shared" si="43"/>
        <v>2.0978999999999999E-8</v>
      </c>
      <c r="G102" s="115">
        <f t="shared" si="43"/>
        <v>2.0978999999999999E-8</v>
      </c>
      <c r="H102" s="115">
        <f t="shared" si="43"/>
        <v>2.0978999999999999E-8</v>
      </c>
    </row>
    <row r="103" spans="1:8" hidden="1" x14ac:dyDescent="0.35">
      <c r="A103" s="112" t="str">
        <f t="shared" si="38"/>
        <v>Jawar</v>
      </c>
      <c r="B103" s="115">
        <f t="shared" si="44"/>
        <v>2.9970000000000002E-35</v>
      </c>
      <c r="C103" s="115">
        <f t="shared" si="41"/>
        <v>2.9969999999999999E-9</v>
      </c>
      <c r="D103" s="115">
        <f t="shared" si="43"/>
        <v>2.9969999999999999E-9</v>
      </c>
      <c r="E103" s="115">
        <f t="shared" si="43"/>
        <v>2.9969999999999999E-9</v>
      </c>
      <c r="F103" s="115">
        <f t="shared" si="43"/>
        <v>2.9969999999999999E-9</v>
      </c>
      <c r="G103" s="115">
        <f t="shared" si="43"/>
        <v>2.9969999999999999E-9</v>
      </c>
      <c r="H103" s="115">
        <f t="shared" si="43"/>
        <v>2.9969999999999999E-9</v>
      </c>
    </row>
    <row r="104" spans="1:8" hidden="1" x14ac:dyDescent="0.35">
      <c r="A104" s="112" t="str">
        <f t="shared" si="38"/>
        <v>Maize</v>
      </c>
      <c r="B104" s="115">
        <f t="shared" si="44"/>
        <v>0</v>
      </c>
      <c r="C104" s="115">
        <f t="shared" si="41"/>
        <v>0</v>
      </c>
      <c r="D104" s="115">
        <f t="shared" ref="D104:H113" si="45">(C104/C$90)*D$90</f>
        <v>0</v>
      </c>
      <c r="E104" s="115">
        <f t="shared" si="45"/>
        <v>0</v>
      </c>
      <c r="F104" s="115">
        <f t="shared" si="45"/>
        <v>0</v>
      </c>
      <c r="G104" s="115">
        <f t="shared" si="45"/>
        <v>0</v>
      </c>
      <c r="H104" s="115">
        <f t="shared" si="45"/>
        <v>0</v>
      </c>
    </row>
    <row r="105" spans="1:8" hidden="1" x14ac:dyDescent="0.35">
      <c r="A105" s="112" t="str">
        <f t="shared" si="38"/>
        <v>Safflower</v>
      </c>
      <c r="B105" s="115">
        <f t="shared" si="44"/>
        <v>0</v>
      </c>
      <c r="C105" s="115">
        <f t="shared" si="41"/>
        <v>0</v>
      </c>
      <c r="D105" s="115">
        <f t="shared" si="45"/>
        <v>0</v>
      </c>
      <c r="E105" s="115">
        <f t="shared" si="45"/>
        <v>0</v>
      </c>
      <c r="F105" s="115">
        <f t="shared" si="45"/>
        <v>0</v>
      </c>
      <c r="G105" s="115">
        <f t="shared" si="45"/>
        <v>0</v>
      </c>
      <c r="H105" s="115">
        <f t="shared" si="45"/>
        <v>0</v>
      </c>
    </row>
    <row r="106" spans="1:8" hidden="1" x14ac:dyDescent="0.35">
      <c r="A106" s="112" t="str">
        <f t="shared" si="38"/>
        <v>Groundnut</v>
      </c>
      <c r="B106" s="115">
        <f t="shared" si="44"/>
        <v>0</v>
      </c>
      <c r="C106" s="115">
        <f t="shared" si="41"/>
        <v>0</v>
      </c>
      <c r="D106" s="115">
        <f t="shared" si="45"/>
        <v>0</v>
      </c>
      <c r="E106" s="115">
        <f t="shared" si="45"/>
        <v>0</v>
      </c>
      <c r="F106" s="115">
        <f t="shared" si="45"/>
        <v>0</v>
      </c>
      <c r="G106" s="115">
        <f t="shared" si="45"/>
        <v>0</v>
      </c>
      <c r="H106" s="115">
        <f t="shared" si="45"/>
        <v>0</v>
      </c>
    </row>
    <row r="107" spans="1:8" hidden="1" x14ac:dyDescent="0.35">
      <c r="A107" s="112">
        <f t="shared" si="38"/>
        <v>0</v>
      </c>
      <c r="B107" s="115">
        <f t="shared" si="44"/>
        <v>0</v>
      </c>
      <c r="C107" s="115">
        <f t="shared" si="41"/>
        <v>0</v>
      </c>
      <c r="D107" s="115">
        <f t="shared" si="45"/>
        <v>0</v>
      </c>
      <c r="E107" s="115">
        <f t="shared" si="45"/>
        <v>0</v>
      </c>
      <c r="F107" s="115">
        <f t="shared" si="45"/>
        <v>0</v>
      </c>
      <c r="G107" s="115">
        <f t="shared" si="45"/>
        <v>0</v>
      </c>
      <c r="H107" s="115">
        <f t="shared" si="45"/>
        <v>0</v>
      </c>
    </row>
    <row r="108" spans="1:8" hidden="1" x14ac:dyDescent="0.35">
      <c r="A108" s="112">
        <f t="shared" si="38"/>
        <v>0</v>
      </c>
      <c r="B108" s="115">
        <f t="shared" si="44"/>
        <v>0</v>
      </c>
      <c r="C108" s="115">
        <f t="shared" si="41"/>
        <v>0</v>
      </c>
      <c r="D108" s="115">
        <f t="shared" si="45"/>
        <v>0</v>
      </c>
      <c r="E108" s="115">
        <f t="shared" si="45"/>
        <v>0</v>
      </c>
      <c r="F108" s="115">
        <f t="shared" si="45"/>
        <v>0</v>
      </c>
      <c r="G108" s="115">
        <f t="shared" si="45"/>
        <v>0</v>
      </c>
      <c r="H108" s="115">
        <f t="shared" si="45"/>
        <v>0</v>
      </c>
    </row>
    <row r="109" spans="1:8" hidden="1" x14ac:dyDescent="0.35">
      <c r="A109" s="112" t="str">
        <f t="shared" si="38"/>
        <v>Soybean</v>
      </c>
      <c r="B109" s="115">
        <f>D33*$B$90</f>
        <v>0</v>
      </c>
      <c r="C109" s="115">
        <f t="shared" si="41"/>
        <v>0</v>
      </c>
      <c r="D109" s="115">
        <f t="shared" si="45"/>
        <v>0</v>
      </c>
      <c r="E109" s="115">
        <f t="shared" si="45"/>
        <v>0</v>
      </c>
      <c r="F109" s="115">
        <f t="shared" si="45"/>
        <v>0</v>
      </c>
      <c r="G109" s="115">
        <f t="shared" si="45"/>
        <v>0</v>
      </c>
      <c r="H109" s="115">
        <f t="shared" si="45"/>
        <v>0</v>
      </c>
    </row>
    <row r="110" spans="1:8" hidden="1" x14ac:dyDescent="0.35">
      <c r="A110" s="112">
        <f t="shared" si="38"/>
        <v>0</v>
      </c>
      <c r="B110" s="115">
        <f>D34*$B$90</f>
        <v>0</v>
      </c>
      <c r="C110" s="115">
        <f t="shared" si="41"/>
        <v>0</v>
      </c>
      <c r="D110" s="115">
        <f t="shared" si="45"/>
        <v>0</v>
      </c>
      <c r="E110" s="115">
        <f t="shared" si="45"/>
        <v>0</v>
      </c>
      <c r="F110" s="115">
        <f t="shared" si="45"/>
        <v>0</v>
      </c>
      <c r="G110" s="115">
        <f t="shared" si="45"/>
        <v>0</v>
      </c>
      <c r="H110" s="115">
        <f t="shared" si="45"/>
        <v>0</v>
      </c>
    </row>
    <row r="111" spans="1:8" hidden="1" x14ac:dyDescent="0.35">
      <c r="A111" s="112">
        <f t="shared" si="38"/>
        <v>0</v>
      </c>
      <c r="B111" s="115">
        <f>D34*$B$90</f>
        <v>0</v>
      </c>
      <c r="C111" s="115">
        <f t="shared" si="41"/>
        <v>0</v>
      </c>
      <c r="D111" s="115">
        <f t="shared" si="45"/>
        <v>0</v>
      </c>
      <c r="E111" s="115">
        <f t="shared" si="45"/>
        <v>0</v>
      </c>
      <c r="F111" s="115">
        <f t="shared" si="45"/>
        <v>0</v>
      </c>
      <c r="G111" s="115">
        <f t="shared" si="45"/>
        <v>0</v>
      </c>
      <c r="H111" s="115">
        <f t="shared" si="45"/>
        <v>0</v>
      </c>
    </row>
    <row r="112" spans="1:8" hidden="1" x14ac:dyDescent="0.35">
      <c r="A112" s="112">
        <f t="shared" si="38"/>
        <v>0</v>
      </c>
      <c r="B112" s="115">
        <f>D36*$B$90</f>
        <v>0</v>
      </c>
      <c r="C112" s="115">
        <f t="shared" si="41"/>
        <v>0</v>
      </c>
      <c r="D112" s="115">
        <f t="shared" si="45"/>
        <v>0</v>
      </c>
      <c r="E112" s="115">
        <f t="shared" si="45"/>
        <v>0</v>
      </c>
      <c r="F112" s="115">
        <f t="shared" si="45"/>
        <v>0</v>
      </c>
      <c r="G112" s="115">
        <f t="shared" si="45"/>
        <v>0</v>
      </c>
      <c r="H112" s="115">
        <f t="shared" si="45"/>
        <v>0</v>
      </c>
    </row>
    <row r="113" spans="1:9" hidden="1" x14ac:dyDescent="0.35">
      <c r="A113" s="112"/>
      <c r="B113" s="115">
        <f>D37*$B$90</f>
        <v>0</v>
      </c>
      <c r="C113" s="115">
        <f t="shared" si="41"/>
        <v>0</v>
      </c>
      <c r="D113" s="115">
        <f t="shared" si="45"/>
        <v>0</v>
      </c>
      <c r="E113" s="115">
        <f t="shared" si="45"/>
        <v>0</v>
      </c>
      <c r="F113" s="115">
        <f t="shared" si="45"/>
        <v>0</v>
      </c>
      <c r="G113" s="115">
        <f t="shared" si="45"/>
        <v>0</v>
      </c>
      <c r="H113" s="115">
        <f t="shared" si="45"/>
        <v>0</v>
      </c>
    </row>
    <row r="115" spans="1:9" x14ac:dyDescent="0.35">
      <c r="C115" s="108"/>
      <c r="D115" s="109"/>
      <c r="E115" s="109"/>
      <c r="F115" s="109"/>
      <c r="G115" s="109"/>
      <c r="H115" s="109"/>
      <c r="I115" s="109"/>
    </row>
    <row r="116" spans="1:9" x14ac:dyDescent="0.35">
      <c r="A116" s="107" t="s">
        <v>538</v>
      </c>
      <c r="C116" s="190"/>
      <c r="D116" s="190"/>
      <c r="E116" s="190"/>
      <c r="F116" s="190"/>
      <c r="G116" s="190"/>
      <c r="H116" s="190"/>
      <c r="I116" s="190"/>
    </row>
    <row r="117" spans="1:9" x14ac:dyDescent="0.35">
      <c r="A117" s="107">
        <v>1</v>
      </c>
      <c r="B117" s="107" t="s">
        <v>580</v>
      </c>
    </row>
    <row r="118" spans="1:9" x14ac:dyDescent="0.35">
      <c r="A118" s="107">
        <v>2</v>
      </c>
      <c r="B118" s="107" t="s">
        <v>581</v>
      </c>
    </row>
    <row r="119" spans="1:9" x14ac:dyDescent="0.35">
      <c r="A119" s="107">
        <v>3</v>
      </c>
      <c r="B119" s="107" t="s">
        <v>541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31" zoomScale="80" zoomScaleSheetLayoutView="80" workbookViewId="0">
      <selection activeCell="C44" sqref="C44"/>
    </sheetView>
  </sheetViews>
  <sheetFormatPr defaultRowHeight="14.5" x14ac:dyDescent="0.3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x14ac:dyDescent="0.35">
      <c r="A1" s="477" t="s">
        <v>497</v>
      </c>
      <c r="B1" s="477"/>
      <c r="C1" s="477"/>
      <c r="D1" s="477"/>
      <c r="E1" s="477"/>
      <c r="F1" s="477"/>
      <c r="G1" s="477"/>
      <c r="H1" s="477"/>
    </row>
    <row r="2" spans="1:26" x14ac:dyDescent="0.35">
      <c r="B2" s="3"/>
    </row>
    <row r="3" spans="1:26" ht="17.5" x14ac:dyDescent="0.35">
      <c r="A3" s="490" t="s">
        <v>560</v>
      </c>
      <c r="B3" s="490"/>
    </row>
    <row r="4" spans="1:26" x14ac:dyDescent="0.35">
      <c r="A4" s="60" t="s">
        <v>0</v>
      </c>
      <c r="B4" s="74" t="s">
        <v>385</v>
      </c>
      <c r="C4" s="75"/>
      <c r="D4" s="75"/>
      <c r="E4" s="75"/>
      <c r="F4" s="75"/>
      <c r="G4" s="75"/>
      <c r="H4" s="75"/>
    </row>
    <row r="5" spans="1:26" x14ac:dyDescent="0.35">
      <c r="A5" s="5" t="s">
        <v>490</v>
      </c>
      <c r="B5" s="58">
        <v>0</v>
      </c>
      <c r="C5" s="76"/>
      <c r="D5" s="77"/>
      <c r="E5" s="77"/>
      <c r="F5" s="77"/>
      <c r="G5" s="77"/>
      <c r="H5" s="77"/>
    </row>
    <row r="6" spans="1:26" x14ac:dyDescent="0.35">
      <c r="A6" s="5" t="s">
        <v>491</v>
      </c>
      <c r="B6" s="58">
        <v>0</v>
      </c>
      <c r="C6" s="76"/>
      <c r="D6" s="77"/>
      <c r="E6" s="77"/>
      <c r="F6" s="77"/>
      <c r="G6" s="77"/>
      <c r="H6" s="77"/>
    </row>
    <row r="7" spans="1:26" x14ac:dyDescent="0.35">
      <c r="A7" s="1" t="s">
        <v>1</v>
      </c>
      <c r="B7" s="95">
        <f>B5+B6</f>
        <v>0</v>
      </c>
      <c r="C7" s="78"/>
      <c r="D7" s="79"/>
      <c r="E7" s="79"/>
      <c r="F7" s="79"/>
      <c r="G7" s="79"/>
      <c r="H7" s="79"/>
    </row>
    <row r="8" spans="1:26" x14ac:dyDescent="0.35">
      <c r="A8" s="1" t="s">
        <v>492</v>
      </c>
      <c r="B8" s="94">
        <v>0</v>
      </c>
      <c r="C8" s="78"/>
      <c r="D8" s="78"/>
      <c r="E8" s="78"/>
      <c r="F8" s="78"/>
      <c r="G8" s="78"/>
      <c r="H8" s="78"/>
    </row>
    <row r="9" spans="1:26" x14ac:dyDescent="0.35">
      <c r="A9" s="1" t="s">
        <v>493</v>
      </c>
      <c r="B9" s="95">
        <f>B7*B8</f>
        <v>0</v>
      </c>
      <c r="C9" s="79"/>
      <c r="D9" s="79"/>
      <c r="E9" s="79"/>
      <c r="F9" s="79"/>
      <c r="G9" s="79"/>
      <c r="H9" s="79"/>
    </row>
    <row r="10" spans="1:26" x14ac:dyDescent="0.35">
      <c r="J10" t="s">
        <v>455</v>
      </c>
      <c r="O10" t="s">
        <v>451</v>
      </c>
      <c r="U10" t="s">
        <v>452</v>
      </c>
      <c r="Y10" t="s">
        <v>453</v>
      </c>
      <c r="Z10" t="s">
        <v>454</v>
      </c>
    </row>
    <row r="11" spans="1:26" ht="17.5" x14ac:dyDescent="0.35">
      <c r="A11" s="477" t="s">
        <v>561</v>
      </c>
      <c r="B11" s="477"/>
      <c r="C11" s="477"/>
      <c r="D11" s="477"/>
      <c r="E11" s="477"/>
      <c r="F11" s="477"/>
      <c r="G11" s="477"/>
      <c r="H11" s="477"/>
      <c r="I11" s="57"/>
      <c r="J11" s="57"/>
      <c r="K11" s="57"/>
      <c r="L11" s="57"/>
      <c r="M11" s="57"/>
      <c r="N11" s="57"/>
      <c r="O11" s="57"/>
      <c r="P11" s="57"/>
    </row>
    <row r="12" spans="1:26" x14ac:dyDescent="0.35">
      <c r="J12" s="2">
        <v>0.65</v>
      </c>
      <c r="K12" s="71">
        <f>J12+0.05</f>
        <v>0.70000000000000007</v>
      </c>
      <c r="L12" s="71">
        <f t="shared" ref="L12:N12" si="0">K12+0.05</f>
        <v>0.75000000000000011</v>
      </c>
      <c r="M12" s="71">
        <f t="shared" si="0"/>
        <v>0.80000000000000016</v>
      </c>
      <c r="N12" s="71">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 x14ac:dyDescent="0.35">
      <c r="A13" s="60" t="s">
        <v>389</v>
      </c>
      <c r="B13" s="60" t="s">
        <v>390</v>
      </c>
      <c r="C13" s="61" t="s">
        <v>448</v>
      </c>
      <c r="D13" s="61" t="s">
        <v>456</v>
      </c>
      <c r="E13" s="61" t="s">
        <v>457</v>
      </c>
      <c r="F13" s="61" t="s">
        <v>391</v>
      </c>
      <c r="G13" s="61" t="s">
        <v>626</v>
      </c>
      <c r="H13" s="61" t="s">
        <v>392</v>
      </c>
      <c r="O13" s="70" t="s">
        <v>2</v>
      </c>
      <c r="P13" s="70" t="s">
        <v>3</v>
      </c>
      <c r="Q13" s="70" t="s">
        <v>4</v>
      </c>
      <c r="R13" s="70" t="s">
        <v>5</v>
      </c>
      <c r="S13" s="70" t="s">
        <v>6</v>
      </c>
      <c r="T13" s="70" t="s">
        <v>2</v>
      </c>
      <c r="U13" s="70" t="s">
        <v>3</v>
      </c>
      <c r="V13" s="70" t="s">
        <v>4</v>
      </c>
      <c r="W13" s="70" t="s">
        <v>5</v>
      </c>
      <c r="X13" s="70" t="s">
        <v>6</v>
      </c>
    </row>
    <row r="14" spans="1:26" x14ac:dyDescent="0.35">
      <c r="A14" s="491" t="s">
        <v>393</v>
      </c>
      <c r="B14" s="58" t="s">
        <v>480</v>
      </c>
      <c r="C14" s="68">
        <v>0.25</v>
      </c>
      <c r="D14" s="5">
        <f t="shared" ref="D14:D40" si="3">$B$9*C14</f>
        <v>0</v>
      </c>
      <c r="E14" s="59">
        <v>15</v>
      </c>
      <c r="F14" s="5">
        <f>D14*E14</f>
        <v>0</v>
      </c>
      <c r="G14" s="69">
        <v>0.1</v>
      </c>
      <c r="H14" s="5">
        <f>(F14-F14*G14)</f>
        <v>0</v>
      </c>
      <c r="J14">
        <f>$D$14*J12</f>
        <v>0</v>
      </c>
      <c r="K14">
        <f>$D$14*K12</f>
        <v>0</v>
      </c>
      <c r="L14">
        <f>$D$14*L12</f>
        <v>0</v>
      </c>
      <c r="M14">
        <f>$D$14*M12</f>
        <v>0</v>
      </c>
      <c r="N14">
        <f>$D$14*N12</f>
        <v>0</v>
      </c>
    </row>
    <row r="15" spans="1:26" x14ac:dyDescent="0.35">
      <c r="A15" s="492"/>
      <c r="B15" s="58" t="s">
        <v>481</v>
      </c>
      <c r="C15" s="68">
        <v>0.25</v>
      </c>
      <c r="D15" s="5">
        <f t="shared" si="3"/>
        <v>0</v>
      </c>
      <c r="E15" s="59">
        <v>26</v>
      </c>
      <c r="F15" s="5">
        <f t="shared" ref="F15:F40" si="4">D15*E15</f>
        <v>0</v>
      </c>
      <c r="G15" s="69">
        <v>0.05</v>
      </c>
      <c r="H15" s="5">
        <f>(F15-F15*G15)</f>
        <v>0</v>
      </c>
    </row>
    <row r="16" spans="1:26" x14ac:dyDescent="0.35">
      <c r="A16" s="492"/>
      <c r="B16" s="58" t="s">
        <v>482</v>
      </c>
      <c r="C16" s="68">
        <v>0</v>
      </c>
      <c r="D16" s="5">
        <f t="shared" si="3"/>
        <v>0</v>
      </c>
      <c r="E16" s="59">
        <v>0</v>
      </c>
      <c r="F16" s="5">
        <f t="shared" si="4"/>
        <v>0</v>
      </c>
      <c r="G16" s="69">
        <v>0</v>
      </c>
      <c r="H16" s="5">
        <f t="shared" ref="H16:H40" si="5">(F16-F16*G16)</f>
        <v>0</v>
      </c>
    </row>
    <row r="17" spans="1:8" x14ac:dyDescent="0.35">
      <c r="A17" s="492"/>
      <c r="B17" s="58" t="s">
        <v>483</v>
      </c>
      <c r="C17" s="68">
        <v>0.25</v>
      </c>
      <c r="D17" s="5">
        <f t="shared" si="3"/>
        <v>0</v>
      </c>
      <c r="E17" s="59">
        <v>7.5</v>
      </c>
      <c r="F17" s="5">
        <f t="shared" si="4"/>
        <v>0</v>
      </c>
      <c r="G17" s="69">
        <v>0.02</v>
      </c>
      <c r="H17" s="5">
        <f t="shared" si="5"/>
        <v>0</v>
      </c>
    </row>
    <row r="18" spans="1:8" x14ac:dyDescent="0.35">
      <c r="A18" s="492"/>
      <c r="B18" s="58" t="s">
        <v>485</v>
      </c>
      <c r="C18" s="68">
        <v>0.25</v>
      </c>
      <c r="D18" s="5">
        <f t="shared" si="3"/>
        <v>0</v>
      </c>
      <c r="E18" s="59">
        <v>2</v>
      </c>
      <c r="F18" s="5">
        <f t="shared" si="4"/>
        <v>0</v>
      </c>
      <c r="G18" s="69">
        <v>0</v>
      </c>
      <c r="H18" s="5">
        <f t="shared" si="5"/>
        <v>0</v>
      </c>
    </row>
    <row r="19" spans="1:8" x14ac:dyDescent="0.35">
      <c r="A19" s="492"/>
      <c r="B19" s="58"/>
      <c r="C19" s="68">
        <v>0</v>
      </c>
      <c r="D19" s="5">
        <f t="shared" si="3"/>
        <v>0</v>
      </c>
      <c r="E19" s="59">
        <v>0</v>
      </c>
      <c r="F19" s="5">
        <f t="shared" si="4"/>
        <v>0</v>
      </c>
      <c r="G19" s="69">
        <v>0.1</v>
      </c>
      <c r="H19" s="5">
        <f t="shared" si="5"/>
        <v>0</v>
      </c>
    </row>
    <row r="20" spans="1:8" x14ac:dyDescent="0.35">
      <c r="A20" s="492"/>
      <c r="B20" s="58"/>
      <c r="C20" s="68">
        <v>0</v>
      </c>
      <c r="D20" s="5">
        <f t="shared" si="3"/>
        <v>0</v>
      </c>
      <c r="E20" s="59">
        <v>0</v>
      </c>
      <c r="F20" s="5">
        <f t="shared" si="4"/>
        <v>0</v>
      </c>
      <c r="G20" s="69">
        <v>0.02</v>
      </c>
      <c r="H20" s="5">
        <f t="shared" si="5"/>
        <v>0</v>
      </c>
    </row>
    <row r="21" spans="1:8" x14ac:dyDescent="0.35">
      <c r="A21" s="492"/>
      <c r="B21" s="58"/>
      <c r="C21" s="68">
        <v>0</v>
      </c>
      <c r="D21" s="5">
        <f t="shared" si="3"/>
        <v>0</v>
      </c>
      <c r="E21" s="59"/>
      <c r="F21" s="5">
        <f t="shared" si="4"/>
        <v>0</v>
      </c>
      <c r="G21" s="69">
        <v>0</v>
      </c>
      <c r="H21" s="5">
        <f t="shared" si="5"/>
        <v>0</v>
      </c>
    </row>
    <row r="22" spans="1:8" x14ac:dyDescent="0.35">
      <c r="A22" s="493"/>
      <c r="B22" s="58"/>
      <c r="C22" s="68">
        <v>0</v>
      </c>
      <c r="D22" s="5">
        <f t="shared" si="3"/>
        <v>0</v>
      </c>
      <c r="E22" s="59"/>
      <c r="F22" s="5">
        <f t="shared" si="4"/>
        <v>0</v>
      </c>
      <c r="G22" s="69">
        <v>0</v>
      </c>
      <c r="H22" s="5">
        <f t="shared" si="5"/>
        <v>0</v>
      </c>
    </row>
    <row r="23" spans="1:8" x14ac:dyDescent="0.35">
      <c r="A23" s="93" t="s">
        <v>498</v>
      </c>
      <c r="B23" s="88"/>
      <c r="C23" s="89">
        <f>B9*B23</f>
        <v>0</v>
      </c>
      <c r="D23" s="5"/>
      <c r="E23" s="59"/>
      <c r="F23" s="5"/>
      <c r="G23" s="69"/>
      <c r="H23" s="5"/>
    </row>
    <row r="24" spans="1:8" x14ac:dyDescent="0.35">
      <c r="A24" s="491" t="s">
        <v>395</v>
      </c>
      <c r="B24" s="58" t="s">
        <v>480</v>
      </c>
      <c r="C24" s="68">
        <v>0</v>
      </c>
      <c r="D24" s="5">
        <f>C$23*C24</f>
        <v>0</v>
      </c>
      <c r="E24" s="59">
        <v>1</v>
      </c>
      <c r="F24" s="5">
        <f t="shared" si="4"/>
        <v>0</v>
      </c>
      <c r="G24" s="69">
        <v>0.1</v>
      </c>
      <c r="H24" s="5">
        <f t="shared" si="5"/>
        <v>0</v>
      </c>
    </row>
    <row r="25" spans="1:8" x14ac:dyDescent="0.35">
      <c r="A25" s="492"/>
      <c r="B25" s="58" t="s">
        <v>481</v>
      </c>
      <c r="C25" s="68">
        <v>0</v>
      </c>
      <c r="D25" s="5">
        <f>C$23*C25</f>
        <v>0</v>
      </c>
      <c r="E25" s="59">
        <v>1</v>
      </c>
      <c r="F25" s="5">
        <f t="shared" si="4"/>
        <v>0</v>
      </c>
      <c r="G25" s="69">
        <v>0.1</v>
      </c>
      <c r="H25" s="5">
        <f t="shared" si="5"/>
        <v>0</v>
      </c>
    </row>
    <row r="26" spans="1:8" x14ac:dyDescent="0.35">
      <c r="A26" s="492"/>
      <c r="B26" s="58" t="s">
        <v>482</v>
      </c>
      <c r="C26" s="68">
        <v>0</v>
      </c>
      <c r="D26" s="5">
        <f>C$23*C26</f>
        <v>0</v>
      </c>
      <c r="E26" s="59">
        <v>1</v>
      </c>
      <c r="F26" s="5">
        <f t="shared" si="4"/>
        <v>0</v>
      </c>
      <c r="G26" s="69">
        <v>0.05</v>
      </c>
      <c r="H26" s="5">
        <f t="shared" si="5"/>
        <v>0</v>
      </c>
    </row>
    <row r="27" spans="1:8" x14ac:dyDescent="0.35">
      <c r="A27" s="492"/>
      <c r="B27" s="58" t="s">
        <v>483</v>
      </c>
      <c r="C27" s="68">
        <v>0</v>
      </c>
      <c r="D27" s="5">
        <f t="shared" ref="D27:D31" si="6">C$23*C27</f>
        <v>0</v>
      </c>
      <c r="E27" s="59">
        <v>2</v>
      </c>
      <c r="F27" s="5">
        <f t="shared" si="4"/>
        <v>0</v>
      </c>
      <c r="G27" s="69">
        <v>0</v>
      </c>
      <c r="H27" s="5">
        <f t="shared" si="5"/>
        <v>0</v>
      </c>
    </row>
    <row r="28" spans="1:8" x14ac:dyDescent="0.35">
      <c r="A28" s="492"/>
      <c r="B28" s="58" t="s">
        <v>484</v>
      </c>
      <c r="C28" s="68">
        <v>0</v>
      </c>
      <c r="D28" s="5">
        <f t="shared" si="6"/>
        <v>0</v>
      </c>
      <c r="E28" s="59"/>
      <c r="F28" s="5">
        <f t="shared" si="4"/>
        <v>0</v>
      </c>
      <c r="G28" s="69">
        <v>0</v>
      </c>
      <c r="H28" s="5">
        <f t="shared" si="5"/>
        <v>0</v>
      </c>
    </row>
    <row r="29" spans="1:8" x14ac:dyDescent="0.35">
      <c r="A29" s="492"/>
      <c r="B29" s="58"/>
      <c r="C29" s="68">
        <v>0</v>
      </c>
      <c r="D29" s="5">
        <f t="shared" si="6"/>
        <v>0</v>
      </c>
      <c r="E29" s="59"/>
      <c r="F29" s="5">
        <f t="shared" si="4"/>
        <v>0</v>
      </c>
      <c r="G29" s="69">
        <v>0</v>
      </c>
      <c r="H29" s="5">
        <f t="shared" si="5"/>
        <v>0</v>
      </c>
    </row>
    <row r="30" spans="1:8" x14ac:dyDescent="0.35">
      <c r="A30" s="492"/>
      <c r="B30" s="58"/>
      <c r="C30" s="68">
        <v>0</v>
      </c>
      <c r="D30" s="5">
        <f t="shared" si="6"/>
        <v>0</v>
      </c>
      <c r="E30" s="59"/>
      <c r="F30" s="5">
        <f t="shared" si="4"/>
        <v>0</v>
      </c>
      <c r="G30" s="69">
        <v>0</v>
      </c>
      <c r="H30" s="5">
        <f t="shared" si="5"/>
        <v>0</v>
      </c>
    </row>
    <row r="31" spans="1:8" x14ac:dyDescent="0.35">
      <c r="A31" s="493"/>
      <c r="B31" s="58"/>
      <c r="C31" s="68">
        <v>0</v>
      </c>
      <c r="D31" s="5">
        <f t="shared" si="6"/>
        <v>0</v>
      </c>
      <c r="E31" s="59"/>
      <c r="F31" s="5">
        <f t="shared" si="4"/>
        <v>0</v>
      </c>
      <c r="G31" s="69">
        <v>0</v>
      </c>
      <c r="H31" s="5">
        <f t="shared" si="5"/>
        <v>0</v>
      </c>
    </row>
    <row r="32" spans="1:8" x14ac:dyDescent="0.35">
      <c r="A32" s="93" t="s">
        <v>499</v>
      </c>
      <c r="B32" s="88"/>
      <c r="C32" s="58">
        <f>B9*B32</f>
        <v>0</v>
      </c>
      <c r="D32" s="5"/>
      <c r="E32" s="59"/>
      <c r="F32" s="5"/>
      <c r="G32" s="69"/>
      <c r="H32" s="5"/>
    </row>
    <row r="33" spans="1:8" x14ac:dyDescent="0.35">
      <c r="A33" s="90" t="s">
        <v>462</v>
      </c>
      <c r="B33" s="58"/>
      <c r="C33" s="68">
        <v>0</v>
      </c>
      <c r="D33" s="5">
        <f>C$32*C33</f>
        <v>0</v>
      </c>
      <c r="E33" s="59"/>
      <c r="F33" s="5">
        <f t="shared" si="4"/>
        <v>0</v>
      </c>
      <c r="G33" s="69">
        <v>0</v>
      </c>
      <c r="H33" s="5">
        <f t="shared" si="5"/>
        <v>0</v>
      </c>
    </row>
    <row r="34" spans="1:8" x14ac:dyDescent="0.35">
      <c r="A34" s="91"/>
      <c r="B34" s="58"/>
      <c r="C34" s="68">
        <v>0</v>
      </c>
      <c r="D34" s="5">
        <f>C$32*C34</f>
        <v>0</v>
      </c>
      <c r="E34" s="59"/>
      <c r="F34" s="5">
        <f t="shared" si="4"/>
        <v>0</v>
      </c>
      <c r="G34" s="69">
        <v>0</v>
      </c>
      <c r="H34" s="5">
        <f t="shared" si="5"/>
        <v>0</v>
      </c>
    </row>
    <row r="35" spans="1:8" x14ac:dyDescent="0.35">
      <c r="A35" s="91"/>
      <c r="B35" s="58"/>
      <c r="C35" s="68">
        <v>0</v>
      </c>
      <c r="D35" s="5">
        <f>C$32*C35</f>
        <v>0</v>
      </c>
      <c r="E35" s="59"/>
      <c r="F35" s="5">
        <f t="shared" si="4"/>
        <v>0</v>
      </c>
      <c r="G35" s="69">
        <v>0</v>
      </c>
      <c r="H35" s="5">
        <f t="shared" si="5"/>
        <v>0</v>
      </c>
    </row>
    <row r="36" spans="1:8" x14ac:dyDescent="0.35">
      <c r="A36" s="92"/>
      <c r="B36" s="58"/>
      <c r="C36" s="68">
        <v>0</v>
      </c>
      <c r="D36" s="5">
        <f>C$32*C36</f>
        <v>0</v>
      </c>
      <c r="E36" s="59"/>
      <c r="F36" s="5">
        <f t="shared" si="4"/>
        <v>0</v>
      </c>
      <c r="G36" s="69">
        <v>0</v>
      </c>
      <c r="H36" s="5">
        <f t="shared" si="5"/>
        <v>0</v>
      </c>
    </row>
    <row r="37" spans="1:8" x14ac:dyDescent="0.35">
      <c r="A37" s="494" t="s">
        <v>500</v>
      </c>
      <c r="B37" s="58" t="s">
        <v>486</v>
      </c>
      <c r="C37" s="68">
        <v>0</v>
      </c>
      <c r="D37" s="5">
        <f t="shared" si="3"/>
        <v>0</v>
      </c>
      <c r="E37" s="59">
        <v>6</v>
      </c>
      <c r="F37" s="5">
        <f t="shared" si="4"/>
        <v>0</v>
      </c>
      <c r="G37" s="69">
        <v>0.05</v>
      </c>
      <c r="H37" s="5">
        <f t="shared" si="5"/>
        <v>0</v>
      </c>
    </row>
    <row r="38" spans="1:8" x14ac:dyDescent="0.35">
      <c r="A38" s="494"/>
      <c r="B38" s="58" t="s">
        <v>487</v>
      </c>
      <c r="C38" s="68">
        <v>0</v>
      </c>
      <c r="D38" s="5">
        <f t="shared" si="3"/>
        <v>0</v>
      </c>
      <c r="E38" s="59"/>
      <c r="F38" s="5">
        <f t="shared" si="4"/>
        <v>0</v>
      </c>
      <c r="G38" s="69">
        <v>0</v>
      </c>
      <c r="H38" s="5">
        <f t="shared" si="5"/>
        <v>0</v>
      </c>
    </row>
    <row r="39" spans="1:8" x14ac:dyDescent="0.35">
      <c r="A39" s="494"/>
      <c r="B39" s="58" t="s">
        <v>488</v>
      </c>
      <c r="C39" s="68">
        <v>0</v>
      </c>
      <c r="D39" s="5">
        <f t="shared" si="3"/>
        <v>0</v>
      </c>
      <c r="E39" s="59"/>
      <c r="F39" s="5">
        <f t="shared" si="4"/>
        <v>0</v>
      </c>
      <c r="G39" s="69">
        <v>0</v>
      </c>
      <c r="H39" s="5">
        <f t="shared" si="5"/>
        <v>0</v>
      </c>
    </row>
    <row r="40" spans="1:8" x14ac:dyDescent="0.35">
      <c r="A40" s="494"/>
      <c r="B40" s="58" t="s">
        <v>489</v>
      </c>
      <c r="C40" s="68">
        <v>0</v>
      </c>
      <c r="D40" s="5">
        <f t="shared" si="3"/>
        <v>0</v>
      </c>
      <c r="E40" s="59"/>
      <c r="F40" s="5">
        <f t="shared" si="4"/>
        <v>0</v>
      </c>
      <c r="G40" s="69">
        <v>0</v>
      </c>
      <c r="H40" s="5">
        <f t="shared" si="5"/>
        <v>0</v>
      </c>
    </row>
    <row r="41" spans="1:8" x14ac:dyDescent="0.35">
      <c r="A41" s="495" t="s">
        <v>398</v>
      </c>
      <c r="B41" s="495"/>
      <c r="C41" s="495"/>
      <c r="D41" s="495"/>
      <c r="E41" s="495"/>
      <c r="F41" s="495"/>
      <c r="G41" s="495"/>
      <c r="H41" s="495"/>
    </row>
    <row r="43" spans="1:8" ht="17.5" x14ac:dyDescent="0.35">
      <c r="A43" s="478" t="s">
        <v>562</v>
      </c>
      <c r="B43" s="479"/>
      <c r="C43" s="479"/>
      <c r="D43" s="479"/>
      <c r="E43" s="479"/>
      <c r="F43" s="479"/>
      <c r="G43" s="479"/>
      <c r="H43" s="480"/>
    </row>
    <row r="44" spans="1:8" x14ac:dyDescent="0.35">
      <c r="A44" s="481" t="s">
        <v>0</v>
      </c>
      <c r="B44" s="82">
        <v>0.35</v>
      </c>
      <c r="C44" s="82">
        <f>B44+0.05</f>
        <v>0.39999999999999997</v>
      </c>
      <c r="D44" s="82">
        <f t="shared" ref="D44:G44" si="7">C44+0.05</f>
        <v>0.44999999999999996</v>
      </c>
      <c r="E44" s="82">
        <f t="shared" si="7"/>
        <v>0.49999999999999994</v>
      </c>
      <c r="F44" s="82">
        <f t="shared" si="7"/>
        <v>0.54999999999999993</v>
      </c>
      <c r="G44" s="82">
        <f t="shared" si="7"/>
        <v>0.6</v>
      </c>
      <c r="H44" s="82">
        <f>G44+0.05</f>
        <v>0.65</v>
      </c>
    </row>
    <row r="45" spans="1:8" x14ac:dyDescent="0.35">
      <c r="A45" s="482"/>
      <c r="B45" s="74" t="s">
        <v>2</v>
      </c>
      <c r="C45" s="74" t="s">
        <v>3</v>
      </c>
      <c r="D45" s="74" t="s">
        <v>4</v>
      </c>
      <c r="E45" s="74" t="s">
        <v>5</v>
      </c>
      <c r="F45" s="74" t="s">
        <v>6</v>
      </c>
      <c r="G45" s="74" t="s">
        <v>165</v>
      </c>
      <c r="H45" s="74" t="s">
        <v>164</v>
      </c>
    </row>
    <row r="46" spans="1:8" x14ac:dyDescent="0.35">
      <c r="A46" s="5" t="str">
        <f t="shared" ref="A46:A54" si="8">B14</f>
        <v>Onion</v>
      </c>
      <c r="B46" s="5">
        <f t="shared" ref="B46:B54" si="9">H14*$B$44</f>
        <v>0</v>
      </c>
      <c r="C46" s="5">
        <f t="shared" ref="C46:H61" si="10">(B46/B$44)*C$44</f>
        <v>0</v>
      </c>
      <c r="D46" s="5">
        <f t="shared" si="10"/>
        <v>0</v>
      </c>
      <c r="E46" s="5">
        <f t="shared" si="10"/>
        <v>0</v>
      </c>
      <c r="F46" s="5">
        <f t="shared" si="10"/>
        <v>0</v>
      </c>
      <c r="G46" s="5">
        <f t="shared" si="10"/>
        <v>0</v>
      </c>
      <c r="H46" s="5">
        <f t="shared" si="10"/>
        <v>0</v>
      </c>
    </row>
    <row r="47" spans="1:8" x14ac:dyDescent="0.35">
      <c r="A47" s="5" t="str">
        <f t="shared" si="8"/>
        <v>Tomato</v>
      </c>
      <c r="B47" s="5">
        <f t="shared" si="9"/>
        <v>0</v>
      </c>
      <c r="C47" s="5">
        <f t="shared" si="10"/>
        <v>0</v>
      </c>
      <c r="D47" s="5">
        <f t="shared" si="10"/>
        <v>0</v>
      </c>
      <c r="E47" s="5">
        <f t="shared" si="10"/>
        <v>0</v>
      </c>
      <c r="F47" s="5">
        <f t="shared" si="10"/>
        <v>0</v>
      </c>
      <c r="G47" s="5">
        <f t="shared" si="10"/>
        <v>0</v>
      </c>
      <c r="H47" s="5">
        <f t="shared" si="10"/>
        <v>0</v>
      </c>
    </row>
    <row r="48" spans="1:8" x14ac:dyDescent="0.35">
      <c r="A48" s="5" t="str">
        <f t="shared" si="8"/>
        <v>Okra</v>
      </c>
      <c r="B48" s="5">
        <f t="shared" si="9"/>
        <v>0</v>
      </c>
      <c r="C48" s="5">
        <f t="shared" si="10"/>
        <v>0</v>
      </c>
      <c r="D48" s="5">
        <f t="shared" si="10"/>
        <v>0</v>
      </c>
      <c r="E48" s="5">
        <f t="shared" si="10"/>
        <v>0</v>
      </c>
      <c r="F48" s="5">
        <f t="shared" si="10"/>
        <v>0</v>
      </c>
      <c r="G48" s="5">
        <f t="shared" si="10"/>
        <v>0</v>
      </c>
      <c r="H48" s="5">
        <f t="shared" si="10"/>
        <v>0</v>
      </c>
    </row>
    <row r="49" spans="1:8" x14ac:dyDescent="0.35">
      <c r="A49" s="5" t="str">
        <f t="shared" si="8"/>
        <v>Chilli</v>
      </c>
      <c r="B49" s="5">
        <f t="shared" si="9"/>
        <v>0</v>
      </c>
      <c r="C49" s="5">
        <f t="shared" si="10"/>
        <v>0</v>
      </c>
      <c r="D49" s="5">
        <f t="shared" si="10"/>
        <v>0</v>
      </c>
      <c r="E49" s="5">
        <f t="shared" si="10"/>
        <v>0</v>
      </c>
      <c r="F49" s="5">
        <f t="shared" si="10"/>
        <v>0</v>
      </c>
      <c r="G49" s="5">
        <f t="shared" si="10"/>
        <v>0</v>
      </c>
      <c r="H49" s="5">
        <f t="shared" si="10"/>
        <v>0</v>
      </c>
    </row>
    <row r="50" spans="1:8" x14ac:dyDescent="0.35">
      <c r="A50" s="5" t="str">
        <f t="shared" si="8"/>
        <v>Potato</v>
      </c>
      <c r="B50" s="5">
        <f t="shared" si="9"/>
        <v>0</v>
      </c>
      <c r="C50" s="5">
        <f t="shared" si="10"/>
        <v>0</v>
      </c>
      <c r="D50" s="5">
        <f t="shared" si="10"/>
        <v>0</v>
      </c>
      <c r="E50" s="5">
        <f t="shared" si="10"/>
        <v>0</v>
      </c>
      <c r="F50" s="5">
        <f t="shared" si="10"/>
        <v>0</v>
      </c>
      <c r="G50" s="5">
        <f t="shared" si="10"/>
        <v>0</v>
      </c>
      <c r="H50" s="5">
        <f t="shared" si="10"/>
        <v>0</v>
      </c>
    </row>
    <row r="51" spans="1:8" x14ac:dyDescent="0.35">
      <c r="A51" s="5">
        <f t="shared" si="8"/>
        <v>0</v>
      </c>
      <c r="B51" s="5">
        <f t="shared" si="9"/>
        <v>0</v>
      </c>
      <c r="C51" s="5">
        <f t="shared" si="10"/>
        <v>0</v>
      </c>
      <c r="D51" s="5">
        <f t="shared" si="10"/>
        <v>0</v>
      </c>
      <c r="E51" s="5">
        <f t="shared" si="10"/>
        <v>0</v>
      </c>
      <c r="F51" s="5">
        <f t="shared" si="10"/>
        <v>0</v>
      </c>
      <c r="G51" s="5">
        <f t="shared" si="10"/>
        <v>0</v>
      </c>
      <c r="H51" s="5">
        <f t="shared" si="10"/>
        <v>0</v>
      </c>
    </row>
    <row r="52" spans="1:8" x14ac:dyDescent="0.35">
      <c r="A52" s="5">
        <f t="shared" si="8"/>
        <v>0</v>
      </c>
      <c r="B52" s="5">
        <f t="shared" si="9"/>
        <v>0</v>
      </c>
      <c r="C52" s="5">
        <f t="shared" si="10"/>
        <v>0</v>
      </c>
      <c r="D52" s="5">
        <f t="shared" si="10"/>
        <v>0</v>
      </c>
      <c r="E52" s="5">
        <f t="shared" si="10"/>
        <v>0</v>
      </c>
      <c r="F52" s="5">
        <f t="shared" si="10"/>
        <v>0</v>
      </c>
      <c r="G52" s="5">
        <f t="shared" si="10"/>
        <v>0</v>
      </c>
      <c r="H52" s="5">
        <f t="shared" si="10"/>
        <v>0</v>
      </c>
    </row>
    <row r="53" spans="1:8" x14ac:dyDescent="0.35">
      <c r="A53" s="5">
        <f t="shared" si="8"/>
        <v>0</v>
      </c>
      <c r="B53" s="5">
        <f t="shared" si="9"/>
        <v>0</v>
      </c>
      <c r="C53" s="5">
        <f t="shared" si="10"/>
        <v>0</v>
      </c>
      <c r="D53" s="5">
        <f t="shared" si="10"/>
        <v>0</v>
      </c>
      <c r="E53" s="5">
        <f t="shared" si="10"/>
        <v>0</v>
      </c>
      <c r="F53" s="5">
        <f t="shared" si="10"/>
        <v>0</v>
      </c>
      <c r="G53" s="5">
        <f t="shared" si="10"/>
        <v>0</v>
      </c>
      <c r="H53" s="5">
        <f t="shared" si="10"/>
        <v>0</v>
      </c>
    </row>
    <row r="54" spans="1:8" x14ac:dyDescent="0.35">
      <c r="A54" s="5">
        <f t="shared" si="8"/>
        <v>0</v>
      </c>
      <c r="B54" s="5">
        <f t="shared" si="9"/>
        <v>0</v>
      </c>
      <c r="C54" s="5">
        <f t="shared" si="10"/>
        <v>0</v>
      </c>
      <c r="D54" s="5">
        <f t="shared" si="10"/>
        <v>0</v>
      </c>
      <c r="E54" s="5">
        <f t="shared" si="10"/>
        <v>0</v>
      </c>
      <c r="F54" s="5">
        <f t="shared" si="10"/>
        <v>0</v>
      </c>
      <c r="G54" s="5">
        <f t="shared" si="10"/>
        <v>0</v>
      </c>
      <c r="H54" s="5">
        <f t="shared" si="10"/>
        <v>0</v>
      </c>
    </row>
    <row r="55" spans="1:8" x14ac:dyDescent="0.35">
      <c r="A55" s="5" t="str">
        <f t="shared" ref="A55:A62" si="11">B24</f>
        <v>Onion</v>
      </c>
      <c r="B55" s="5">
        <f t="shared" ref="B55:B61" si="12">H24*$B$44</f>
        <v>0</v>
      </c>
      <c r="C55" s="5">
        <f t="shared" si="10"/>
        <v>0</v>
      </c>
      <c r="D55" s="5">
        <f t="shared" si="10"/>
        <v>0</v>
      </c>
      <c r="E55" s="5">
        <f t="shared" si="10"/>
        <v>0</v>
      </c>
      <c r="F55" s="5">
        <f t="shared" si="10"/>
        <v>0</v>
      </c>
      <c r="G55" s="5">
        <f t="shared" si="10"/>
        <v>0</v>
      </c>
      <c r="H55" s="5">
        <f t="shared" si="10"/>
        <v>0</v>
      </c>
    </row>
    <row r="56" spans="1:8" x14ac:dyDescent="0.35">
      <c r="A56" s="5" t="str">
        <f t="shared" si="11"/>
        <v>Tomato</v>
      </c>
      <c r="B56" s="5">
        <f t="shared" si="12"/>
        <v>0</v>
      </c>
      <c r="C56" s="5">
        <f t="shared" si="10"/>
        <v>0</v>
      </c>
      <c r="D56" s="5">
        <f t="shared" si="10"/>
        <v>0</v>
      </c>
      <c r="E56" s="5">
        <f t="shared" si="10"/>
        <v>0</v>
      </c>
      <c r="F56" s="5">
        <f t="shared" si="10"/>
        <v>0</v>
      </c>
      <c r="G56" s="5">
        <f t="shared" si="10"/>
        <v>0</v>
      </c>
      <c r="H56" s="5">
        <f t="shared" si="10"/>
        <v>0</v>
      </c>
    </row>
    <row r="57" spans="1:8" x14ac:dyDescent="0.35">
      <c r="A57" s="5" t="str">
        <f t="shared" si="11"/>
        <v>Okra</v>
      </c>
      <c r="B57" s="5">
        <f t="shared" si="12"/>
        <v>0</v>
      </c>
      <c r="C57" s="5">
        <f t="shared" si="10"/>
        <v>0</v>
      </c>
      <c r="D57" s="5">
        <f t="shared" si="10"/>
        <v>0</v>
      </c>
      <c r="E57" s="5">
        <f t="shared" si="10"/>
        <v>0</v>
      </c>
      <c r="F57" s="5">
        <f t="shared" si="10"/>
        <v>0</v>
      </c>
      <c r="G57" s="5">
        <f t="shared" si="10"/>
        <v>0</v>
      </c>
      <c r="H57" s="5">
        <f t="shared" si="10"/>
        <v>0</v>
      </c>
    </row>
    <row r="58" spans="1:8" x14ac:dyDescent="0.35">
      <c r="A58" s="5" t="str">
        <f t="shared" si="11"/>
        <v>Chilli</v>
      </c>
      <c r="B58" s="5">
        <f t="shared" si="12"/>
        <v>0</v>
      </c>
      <c r="C58" s="5">
        <f t="shared" si="10"/>
        <v>0</v>
      </c>
      <c r="D58" s="5">
        <f t="shared" si="10"/>
        <v>0</v>
      </c>
      <c r="E58" s="5">
        <f t="shared" si="10"/>
        <v>0</v>
      </c>
      <c r="F58" s="5">
        <f t="shared" si="10"/>
        <v>0</v>
      </c>
      <c r="G58" s="5">
        <f t="shared" si="10"/>
        <v>0</v>
      </c>
      <c r="H58" s="5">
        <f t="shared" si="10"/>
        <v>0</v>
      </c>
    </row>
    <row r="59" spans="1:8" x14ac:dyDescent="0.35">
      <c r="A59" s="5" t="str">
        <f t="shared" si="11"/>
        <v>Brinjal</v>
      </c>
      <c r="B59" s="5">
        <f t="shared" si="12"/>
        <v>0</v>
      </c>
      <c r="C59" s="5">
        <f t="shared" si="10"/>
        <v>0</v>
      </c>
      <c r="D59" s="5">
        <f t="shared" si="10"/>
        <v>0</v>
      </c>
      <c r="E59" s="5">
        <f t="shared" si="10"/>
        <v>0</v>
      </c>
      <c r="F59" s="5">
        <f t="shared" si="10"/>
        <v>0</v>
      </c>
      <c r="G59" s="5">
        <f t="shared" si="10"/>
        <v>0</v>
      </c>
      <c r="H59" s="5">
        <f t="shared" si="10"/>
        <v>0</v>
      </c>
    </row>
    <row r="60" spans="1:8" x14ac:dyDescent="0.35">
      <c r="A60" s="5">
        <f t="shared" si="11"/>
        <v>0</v>
      </c>
      <c r="B60" s="5">
        <f t="shared" si="12"/>
        <v>0</v>
      </c>
      <c r="C60" s="5">
        <f t="shared" si="10"/>
        <v>0</v>
      </c>
      <c r="D60" s="5">
        <f t="shared" si="10"/>
        <v>0</v>
      </c>
      <c r="E60" s="5">
        <f t="shared" si="10"/>
        <v>0</v>
      </c>
      <c r="F60" s="5">
        <f t="shared" si="10"/>
        <v>0</v>
      </c>
      <c r="G60" s="5">
        <f t="shared" si="10"/>
        <v>0</v>
      </c>
      <c r="H60" s="5">
        <f t="shared" si="10"/>
        <v>0</v>
      </c>
    </row>
    <row r="61" spans="1:8" x14ac:dyDescent="0.35">
      <c r="A61" s="5">
        <f t="shared" si="11"/>
        <v>0</v>
      </c>
      <c r="B61" s="5">
        <f t="shared" si="12"/>
        <v>0</v>
      </c>
      <c r="C61" s="5">
        <f t="shared" si="10"/>
        <v>0</v>
      </c>
      <c r="D61" s="5">
        <f t="shared" si="10"/>
        <v>0</v>
      </c>
      <c r="E61" s="5">
        <f t="shared" si="10"/>
        <v>0</v>
      </c>
      <c r="F61" s="5">
        <f t="shared" si="10"/>
        <v>0</v>
      </c>
      <c r="G61" s="5">
        <f t="shared" si="10"/>
        <v>0</v>
      </c>
      <c r="H61" s="5">
        <f t="shared" si="10"/>
        <v>0</v>
      </c>
    </row>
    <row r="62" spans="1:8" x14ac:dyDescent="0.35">
      <c r="A62" s="5">
        <f t="shared" si="11"/>
        <v>0</v>
      </c>
      <c r="B62" s="5">
        <f t="shared" ref="B62" si="13">H31*$B$44</f>
        <v>0</v>
      </c>
      <c r="C62" s="5">
        <f t="shared" ref="C62:H70" si="14">(B62/B$44)*C$44</f>
        <v>0</v>
      </c>
      <c r="D62" s="5">
        <f t="shared" si="14"/>
        <v>0</v>
      </c>
      <c r="E62" s="5">
        <f t="shared" si="14"/>
        <v>0</v>
      </c>
      <c r="F62" s="5">
        <f t="shared" si="14"/>
        <v>0</v>
      </c>
      <c r="G62" s="5">
        <f t="shared" si="14"/>
        <v>0</v>
      </c>
      <c r="H62" s="5">
        <f t="shared" si="14"/>
        <v>0</v>
      </c>
    </row>
    <row r="63" spans="1:8" x14ac:dyDescent="0.35">
      <c r="A63" s="5">
        <f t="shared" ref="A63:A66" si="15">B33</f>
        <v>0</v>
      </c>
      <c r="B63" s="5">
        <f t="shared" ref="B63:B70" si="16">H33*$B$44</f>
        <v>0</v>
      </c>
      <c r="C63" s="5">
        <f t="shared" si="14"/>
        <v>0</v>
      </c>
      <c r="D63" s="5">
        <f t="shared" ref="D63:D66" si="17">(C63/C$44)*D$44</f>
        <v>0</v>
      </c>
      <c r="E63" s="5">
        <f t="shared" ref="E63:E66" si="18">(D63/D$44)*E$44</f>
        <v>0</v>
      </c>
      <c r="F63" s="5">
        <f t="shared" ref="F63:F66" si="19">(E63/E$44)*F$44</f>
        <v>0</v>
      </c>
      <c r="G63" s="5">
        <f t="shared" ref="G63:G66" si="20">(F63/F$44)*G$44</f>
        <v>0</v>
      </c>
      <c r="H63" s="5">
        <f t="shared" ref="H63:H66" si="21">(G63/G$44)*H$44</f>
        <v>0</v>
      </c>
    </row>
    <row r="64" spans="1:8" x14ac:dyDescent="0.35">
      <c r="A64" s="5">
        <f t="shared" si="15"/>
        <v>0</v>
      </c>
      <c r="B64" s="5">
        <f t="shared" si="16"/>
        <v>0</v>
      </c>
      <c r="C64" s="5">
        <f t="shared" si="14"/>
        <v>0</v>
      </c>
      <c r="D64" s="5">
        <f t="shared" si="17"/>
        <v>0</v>
      </c>
      <c r="E64" s="5">
        <f t="shared" si="18"/>
        <v>0</v>
      </c>
      <c r="F64" s="5">
        <f t="shared" si="19"/>
        <v>0</v>
      </c>
      <c r="G64" s="5">
        <f t="shared" si="20"/>
        <v>0</v>
      </c>
      <c r="H64" s="5">
        <f t="shared" si="21"/>
        <v>0</v>
      </c>
    </row>
    <row r="65" spans="1:8" x14ac:dyDescent="0.35">
      <c r="A65" s="5">
        <f t="shared" si="15"/>
        <v>0</v>
      </c>
      <c r="B65" s="5">
        <f t="shared" si="16"/>
        <v>0</v>
      </c>
      <c r="C65" s="5">
        <f t="shared" si="14"/>
        <v>0</v>
      </c>
      <c r="D65" s="5">
        <f t="shared" si="17"/>
        <v>0</v>
      </c>
      <c r="E65" s="5">
        <f t="shared" si="18"/>
        <v>0</v>
      </c>
      <c r="F65" s="5">
        <f t="shared" si="19"/>
        <v>0</v>
      </c>
      <c r="G65" s="5">
        <f t="shared" si="20"/>
        <v>0</v>
      </c>
      <c r="H65" s="5">
        <f t="shared" si="21"/>
        <v>0</v>
      </c>
    </row>
    <row r="66" spans="1:8" x14ac:dyDescent="0.35">
      <c r="A66" s="5">
        <f t="shared" si="15"/>
        <v>0</v>
      </c>
      <c r="B66" s="5">
        <f t="shared" si="16"/>
        <v>0</v>
      </c>
      <c r="C66" s="5">
        <f t="shared" si="14"/>
        <v>0</v>
      </c>
      <c r="D66" s="5">
        <f t="shared" si="17"/>
        <v>0</v>
      </c>
      <c r="E66" s="5">
        <f t="shared" si="18"/>
        <v>0</v>
      </c>
      <c r="F66" s="5">
        <f t="shared" si="19"/>
        <v>0</v>
      </c>
      <c r="G66" s="5">
        <f t="shared" si="20"/>
        <v>0</v>
      </c>
      <c r="H66" s="5">
        <f t="shared" si="21"/>
        <v>0</v>
      </c>
    </row>
    <row r="67" spans="1:8" x14ac:dyDescent="0.35">
      <c r="A67" s="5" t="str">
        <f>B37</f>
        <v>Pomegranate</v>
      </c>
      <c r="B67" s="5">
        <f t="shared" si="16"/>
        <v>0</v>
      </c>
      <c r="C67" s="5">
        <f t="shared" si="14"/>
        <v>0</v>
      </c>
      <c r="D67" s="5">
        <f t="shared" si="14"/>
        <v>0</v>
      </c>
      <c r="E67" s="5">
        <f t="shared" si="14"/>
        <v>0</v>
      </c>
      <c r="F67" s="5">
        <f t="shared" si="14"/>
        <v>0</v>
      </c>
      <c r="G67" s="5">
        <f t="shared" si="14"/>
        <v>0</v>
      </c>
      <c r="H67" s="5">
        <f t="shared" si="14"/>
        <v>0</v>
      </c>
    </row>
    <row r="68" spans="1:8" x14ac:dyDescent="0.35">
      <c r="A68" s="5" t="str">
        <f t="shared" ref="A68:A70" si="22">B38</f>
        <v>Custard Apple</v>
      </c>
      <c r="B68" s="5">
        <f t="shared" si="16"/>
        <v>0</v>
      </c>
      <c r="C68" s="5">
        <f t="shared" si="14"/>
        <v>0</v>
      </c>
      <c r="D68" s="5">
        <f t="shared" si="14"/>
        <v>0</v>
      </c>
      <c r="E68" s="5">
        <f t="shared" si="14"/>
        <v>0</v>
      </c>
      <c r="F68" s="5">
        <f t="shared" si="14"/>
        <v>0</v>
      </c>
      <c r="G68" s="5">
        <f t="shared" si="14"/>
        <v>0</v>
      </c>
      <c r="H68" s="5">
        <f t="shared" si="14"/>
        <v>0</v>
      </c>
    </row>
    <row r="69" spans="1:8" x14ac:dyDescent="0.35">
      <c r="A69" s="5" t="str">
        <f t="shared" si="22"/>
        <v>Guava</v>
      </c>
      <c r="B69" s="5">
        <f t="shared" si="16"/>
        <v>0</v>
      </c>
      <c r="C69" s="5">
        <f t="shared" si="14"/>
        <v>0</v>
      </c>
      <c r="D69" s="5">
        <f t="shared" si="14"/>
        <v>0</v>
      </c>
      <c r="E69" s="5">
        <f t="shared" si="14"/>
        <v>0</v>
      </c>
      <c r="F69" s="5">
        <f t="shared" si="14"/>
        <v>0</v>
      </c>
      <c r="G69" s="5">
        <f t="shared" si="14"/>
        <v>0</v>
      </c>
      <c r="H69" s="5">
        <f t="shared" si="14"/>
        <v>0</v>
      </c>
    </row>
    <row r="70" spans="1:8" x14ac:dyDescent="0.35">
      <c r="A70" s="5" t="str">
        <f t="shared" si="22"/>
        <v>Citrus</v>
      </c>
      <c r="B70" s="5">
        <f t="shared" si="16"/>
        <v>0</v>
      </c>
      <c r="C70" s="5">
        <f t="shared" si="14"/>
        <v>0</v>
      </c>
      <c r="D70" s="5">
        <f t="shared" si="14"/>
        <v>0</v>
      </c>
      <c r="E70" s="5">
        <f t="shared" ref="E70" si="23">(D70/D$44)*E$44</f>
        <v>0</v>
      </c>
      <c r="F70" s="5">
        <f t="shared" ref="F70" si="24">(E70/E$44)*F$44</f>
        <v>0</v>
      </c>
      <c r="G70" s="5">
        <f t="shared" ref="G70:H70" si="25">(F70/F$44)*G$44</f>
        <v>0</v>
      </c>
      <c r="H70" s="5">
        <f t="shared" si="25"/>
        <v>0</v>
      </c>
    </row>
    <row r="71" spans="1:8" ht="17.5" x14ac:dyDescent="0.35">
      <c r="A71" s="483" t="s">
        <v>563</v>
      </c>
      <c r="B71" s="484"/>
      <c r="C71" s="484"/>
      <c r="D71" s="484"/>
      <c r="E71" s="484"/>
      <c r="F71" s="484"/>
      <c r="G71" s="484"/>
      <c r="H71" s="485"/>
    </row>
    <row r="72" spans="1:8" x14ac:dyDescent="0.35">
      <c r="A72" s="486" t="s">
        <v>0</v>
      </c>
      <c r="B72" s="83">
        <v>0.05</v>
      </c>
      <c r="C72" s="83">
        <f>B72+0.05</f>
        <v>0.1</v>
      </c>
      <c r="D72" s="83">
        <f t="shared" ref="D72:G72" si="26">C72+0.05</f>
        <v>0.15000000000000002</v>
      </c>
      <c r="E72" s="83">
        <f t="shared" si="26"/>
        <v>0.2</v>
      </c>
      <c r="F72" s="83">
        <f t="shared" si="26"/>
        <v>0.25</v>
      </c>
      <c r="G72" s="83">
        <f t="shared" si="26"/>
        <v>0.3</v>
      </c>
      <c r="H72" s="83">
        <f>G72+0.05</f>
        <v>0.35</v>
      </c>
    </row>
    <row r="73" spans="1:8" x14ac:dyDescent="0.35">
      <c r="A73" s="487"/>
      <c r="B73" s="74" t="s">
        <v>2</v>
      </c>
      <c r="C73" s="74" t="s">
        <v>3</v>
      </c>
      <c r="D73" s="74" t="s">
        <v>4</v>
      </c>
      <c r="E73" s="74" t="s">
        <v>5</v>
      </c>
      <c r="F73" s="74" t="s">
        <v>6</v>
      </c>
      <c r="G73" s="74" t="s">
        <v>165</v>
      </c>
      <c r="H73" s="74" t="s">
        <v>164</v>
      </c>
    </row>
    <row r="74" spans="1:8" s="6" customFormat="1" x14ac:dyDescent="0.35">
      <c r="A74" s="5" t="str">
        <f t="shared" ref="A74:A98" si="27">A46</f>
        <v>Onion</v>
      </c>
      <c r="B74" s="5">
        <f t="shared" ref="B74" si="28">H14*$B$72</f>
        <v>0</v>
      </c>
      <c r="C74" s="5">
        <f t="shared" ref="C74:H74" si="29">I14*$B$72</f>
        <v>0</v>
      </c>
      <c r="D74" s="5">
        <f t="shared" si="29"/>
        <v>0</v>
      </c>
      <c r="E74" s="5">
        <f t="shared" si="29"/>
        <v>0</v>
      </c>
      <c r="F74" s="5">
        <f t="shared" si="29"/>
        <v>0</v>
      </c>
      <c r="G74" s="5">
        <f t="shared" si="29"/>
        <v>0</v>
      </c>
      <c r="H74" s="5">
        <f t="shared" si="29"/>
        <v>0</v>
      </c>
    </row>
    <row r="75" spans="1:8" x14ac:dyDescent="0.35">
      <c r="A75" s="5" t="str">
        <f t="shared" si="27"/>
        <v>Tomato</v>
      </c>
      <c r="B75" s="5">
        <f>H15*$B$72*0</f>
        <v>0</v>
      </c>
      <c r="C75" s="5">
        <f>(B75/B72)*C72</f>
        <v>0</v>
      </c>
      <c r="D75" s="5">
        <f t="shared" ref="D75:G75" si="30">(C75/C72)*D72</f>
        <v>0</v>
      </c>
      <c r="E75" s="5">
        <f t="shared" si="30"/>
        <v>0</v>
      </c>
      <c r="F75" s="5">
        <f t="shared" si="30"/>
        <v>0</v>
      </c>
      <c r="G75" s="5">
        <f t="shared" si="30"/>
        <v>0</v>
      </c>
      <c r="H75" s="5">
        <f>(G75/G72)*H72</f>
        <v>0</v>
      </c>
    </row>
    <row r="76" spans="1:8" x14ac:dyDescent="0.35">
      <c r="A76" s="5" t="str">
        <f t="shared" si="27"/>
        <v>Okra</v>
      </c>
      <c r="B76" s="5">
        <f t="shared" ref="B76:B82" si="31">H16*$B$72</f>
        <v>0</v>
      </c>
      <c r="C76" s="5">
        <f>(B76/B72)*C72</f>
        <v>0</v>
      </c>
      <c r="D76" s="5">
        <f>(C76/C72)*D72</f>
        <v>0</v>
      </c>
      <c r="E76" s="5">
        <f t="shared" ref="E76:G76" si="32">(D76/D72)*E72</f>
        <v>0</v>
      </c>
      <c r="F76" s="5">
        <f t="shared" si="32"/>
        <v>0</v>
      </c>
      <c r="G76" s="5">
        <f t="shared" si="32"/>
        <v>0</v>
      </c>
      <c r="H76" s="5">
        <f>(G76/G72)*H72</f>
        <v>0</v>
      </c>
    </row>
    <row r="77" spans="1:8" x14ac:dyDescent="0.35">
      <c r="A77" s="5" t="str">
        <f t="shared" si="27"/>
        <v>Chilli</v>
      </c>
      <c r="B77" s="5">
        <f>H17*$B$72*0</f>
        <v>0</v>
      </c>
      <c r="C77" s="5">
        <f t="shared" ref="C77:H95" si="33">(B77/B$72)*C$72</f>
        <v>0</v>
      </c>
      <c r="D77" s="5">
        <f t="shared" si="33"/>
        <v>0</v>
      </c>
      <c r="E77" s="5">
        <f t="shared" si="33"/>
        <v>0</v>
      </c>
      <c r="F77" s="5">
        <f t="shared" si="33"/>
        <v>0</v>
      </c>
      <c r="G77" s="5">
        <f t="shared" si="33"/>
        <v>0</v>
      </c>
      <c r="H77" s="5">
        <f t="shared" si="33"/>
        <v>0</v>
      </c>
    </row>
    <row r="78" spans="1:8" x14ac:dyDescent="0.35">
      <c r="A78" s="5" t="str">
        <f t="shared" si="27"/>
        <v>Potato</v>
      </c>
      <c r="B78" s="5">
        <f t="shared" si="31"/>
        <v>0</v>
      </c>
      <c r="C78" s="5">
        <f t="shared" si="33"/>
        <v>0</v>
      </c>
      <c r="D78" s="5">
        <f t="shared" si="33"/>
        <v>0</v>
      </c>
      <c r="E78" s="5">
        <f t="shared" si="33"/>
        <v>0</v>
      </c>
      <c r="F78" s="5">
        <f t="shared" si="33"/>
        <v>0</v>
      </c>
      <c r="G78" s="5">
        <f t="shared" si="33"/>
        <v>0</v>
      </c>
      <c r="H78" s="5">
        <f t="shared" si="33"/>
        <v>0</v>
      </c>
    </row>
    <row r="79" spans="1:8" x14ac:dyDescent="0.35">
      <c r="A79" s="5">
        <f t="shared" si="27"/>
        <v>0</v>
      </c>
      <c r="B79" s="5">
        <f>H19*$B$72*0</f>
        <v>0</v>
      </c>
      <c r="C79" s="5">
        <f t="shared" si="33"/>
        <v>0</v>
      </c>
      <c r="D79" s="5">
        <f t="shared" si="33"/>
        <v>0</v>
      </c>
      <c r="E79" s="5">
        <f t="shared" si="33"/>
        <v>0</v>
      </c>
      <c r="F79" s="5">
        <f t="shared" si="33"/>
        <v>0</v>
      </c>
      <c r="G79" s="5">
        <f t="shared" si="33"/>
        <v>0</v>
      </c>
      <c r="H79" s="5">
        <f t="shared" si="33"/>
        <v>0</v>
      </c>
    </row>
    <row r="80" spans="1:8" x14ac:dyDescent="0.35">
      <c r="A80" s="5">
        <f t="shared" si="27"/>
        <v>0</v>
      </c>
      <c r="B80" s="5">
        <f>H20*$B$72*0</f>
        <v>0</v>
      </c>
      <c r="C80" s="5">
        <f t="shared" si="33"/>
        <v>0</v>
      </c>
      <c r="D80" s="5">
        <f t="shared" si="33"/>
        <v>0</v>
      </c>
      <c r="E80" s="5">
        <f t="shared" si="33"/>
        <v>0</v>
      </c>
      <c r="F80" s="5">
        <f t="shared" si="33"/>
        <v>0</v>
      </c>
      <c r="G80" s="5">
        <f t="shared" si="33"/>
        <v>0</v>
      </c>
      <c r="H80" s="5">
        <f t="shared" si="33"/>
        <v>0</v>
      </c>
    </row>
    <row r="81" spans="1:8" x14ac:dyDescent="0.35">
      <c r="A81" s="5">
        <f t="shared" si="27"/>
        <v>0</v>
      </c>
      <c r="B81" s="5">
        <f t="shared" si="31"/>
        <v>0</v>
      </c>
      <c r="C81" s="5">
        <f t="shared" si="33"/>
        <v>0</v>
      </c>
      <c r="D81" s="5">
        <f t="shared" si="33"/>
        <v>0</v>
      </c>
      <c r="E81" s="5">
        <f t="shared" si="33"/>
        <v>0</v>
      </c>
      <c r="F81" s="5">
        <f t="shared" si="33"/>
        <v>0</v>
      </c>
      <c r="G81" s="5">
        <f t="shared" si="33"/>
        <v>0</v>
      </c>
      <c r="H81" s="5">
        <f t="shared" si="33"/>
        <v>0</v>
      </c>
    </row>
    <row r="82" spans="1:8" x14ac:dyDescent="0.35">
      <c r="A82" s="5">
        <f t="shared" si="27"/>
        <v>0</v>
      </c>
      <c r="B82" s="5">
        <f t="shared" si="31"/>
        <v>0</v>
      </c>
      <c r="C82" s="5">
        <f t="shared" si="33"/>
        <v>0</v>
      </c>
      <c r="D82" s="5">
        <f t="shared" si="33"/>
        <v>0</v>
      </c>
      <c r="E82" s="5">
        <f t="shared" si="33"/>
        <v>0</v>
      </c>
      <c r="F82" s="5">
        <f t="shared" si="33"/>
        <v>0</v>
      </c>
      <c r="G82" s="5">
        <f t="shared" si="33"/>
        <v>0</v>
      </c>
      <c r="H82" s="5">
        <f t="shared" si="33"/>
        <v>0</v>
      </c>
    </row>
    <row r="83" spans="1:8" x14ac:dyDescent="0.35">
      <c r="A83" s="5" t="str">
        <f t="shared" si="27"/>
        <v>Onion</v>
      </c>
      <c r="B83" s="5">
        <f t="shared" ref="B83:B90" si="34">H24*$B$72</f>
        <v>0</v>
      </c>
      <c r="C83" s="5">
        <f t="shared" si="33"/>
        <v>0</v>
      </c>
      <c r="D83" s="5">
        <f t="shared" si="33"/>
        <v>0</v>
      </c>
      <c r="E83" s="5">
        <f t="shared" si="33"/>
        <v>0</v>
      </c>
      <c r="F83" s="5">
        <f t="shared" si="33"/>
        <v>0</v>
      </c>
      <c r="G83" s="5">
        <f t="shared" si="33"/>
        <v>0</v>
      </c>
      <c r="H83" s="5">
        <f t="shared" si="33"/>
        <v>0</v>
      </c>
    </row>
    <row r="84" spans="1:8" x14ac:dyDescent="0.35">
      <c r="A84" s="5" t="str">
        <f t="shared" si="27"/>
        <v>Tomato</v>
      </c>
      <c r="B84" s="5">
        <f t="shared" si="34"/>
        <v>0</v>
      </c>
      <c r="C84" s="5">
        <f t="shared" si="33"/>
        <v>0</v>
      </c>
      <c r="D84" s="5">
        <f t="shared" si="33"/>
        <v>0</v>
      </c>
      <c r="E84" s="5">
        <f t="shared" si="33"/>
        <v>0</v>
      </c>
      <c r="F84" s="5">
        <f t="shared" si="33"/>
        <v>0</v>
      </c>
      <c r="G84" s="5">
        <f t="shared" si="33"/>
        <v>0</v>
      </c>
      <c r="H84" s="5">
        <f t="shared" si="33"/>
        <v>0</v>
      </c>
    </row>
    <row r="85" spans="1:8" x14ac:dyDescent="0.35">
      <c r="A85" s="5" t="str">
        <f t="shared" si="27"/>
        <v>Okra</v>
      </c>
      <c r="B85" s="5">
        <f t="shared" si="34"/>
        <v>0</v>
      </c>
      <c r="C85" s="5">
        <f t="shared" si="33"/>
        <v>0</v>
      </c>
      <c r="D85" s="5">
        <f t="shared" si="33"/>
        <v>0</v>
      </c>
      <c r="E85" s="5">
        <f t="shared" si="33"/>
        <v>0</v>
      </c>
      <c r="F85" s="5">
        <f t="shared" si="33"/>
        <v>0</v>
      </c>
      <c r="G85" s="5">
        <f t="shared" si="33"/>
        <v>0</v>
      </c>
      <c r="H85" s="5">
        <f t="shared" si="33"/>
        <v>0</v>
      </c>
    </row>
    <row r="86" spans="1:8" x14ac:dyDescent="0.35">
      <c r="A86" s="5" t="str">
        <f t="shared" si="27"/>
        <v>Chilli</v>
      </c>
      <c r="B86" s="5">
        <f t="shared" si="34"/>
        <v>0</v>
      </c>
      <c r="C86" s="5">
        <f t="shared" si="33"/>
        <v>0</v>
      </c>
      <c r="D86" s="5">
        <f t="shared" si="33"/>
        <v>0</v>
      </c>
      <c r="E86" s="5">
        <f t="shared" si="33"/>
        <v>0</v>
      </c>
      <c r="F86" s="5">
        <f t="shared" si="33"/>
        <v>0</v>
      </c>
      <c r="G86" s="5">
        <f t="shared" si="33"/>
        <v>0</v>
      </c>
      <c r="H86" s="5">
        <f t="shared" si="33"/>
        <v>0</v>
      </c>
    </row>
    <row r="87" spans="1:8" x14ac:dyDescent="0.35">
      <c r="A87" s="5" t="str">
        <f t="shared" si="27"/>
        <v>Brinjal</v>
      </c>
      <c r="B87" s="5">
        <f t="shared" si="34"/>
        <v>0</v>
      </c>
      <c r="C87" s="5">
        <f t="shared" si="33"/>
        <v>0</v>
      </c>
      <c r="D87" s="5">
        <f t="shared" si="33"/>
        <v>0</v>
      </c>
      <c r="E87" s="5">
        <f t="shared" si="33"/>
        <v>0</v>
      </c>
      <c r="F87" s="5">
        <f t="shared" si="33"/>
        <v>0</v>
      </c>
      <c r="G87" s="5">
        <f t="shared" si="33"/>
        <v>0</v>
      </c>
      <c r="H87" s="5">
        <f t="shared" si="33"/>
        <v>0</v>
      </c>
    </row>
    <row r="88" spans="1:8" x14ac:dyDescent="0.35">
      <c r="A88" s="5">
        <f t="shared" si="27"/>
        <v>0</v>
      </c>
      <c r="B88" s="5">
        <f t="shared" si="34"/>
        <v>0</v>
      </c>
      <c r="C88" s="5">
        <f t="shared" si="33"/>
        <v>0</v>
      </c>
      <c r="D88" s="5">
        <f t="shared" si="33"/>
        <v>0</v>
      </c>
      <c r="E88" s="5">
        <f t="shared" si="33"/>
        <v>0</v>
      </c>
      <c r="F88" s="5">
        <f t="shared" si="33"/>
        <v>0</v>
      </c>
      <c r="G88" s="5">
        <f t="shared" si="33"/>
        <v>0</v>
      </c>
      <c r="H88" s="5">
        <f t="shared" si="33"/>
        <v>0</v>
      </c>
    </row>
    <row r="89" spans="1:8" x14ac:dyDescent="0.35">
      <c r="A89" s="5">
        <f t="shared" si="27"/>
        <v>0</v>
      </c>
      <c r="B89" s="5">
        <f t="shared" si="34"/>
        <v>0</v>
      </c>
      <c r="C89" s="5">
        <f t="shared" si="33"/>
        <v>0</v>
      </c>
      <c r="D89" s="5">
        <f t="shared" si="33"/>
        <v>0</v>
      </c>
      <c r="E89" s="5">
        <f t="shared" si="33"/>
        <v>0</v>
      </c>
      <c r="F89" s="5">
        <f t="shared" si="33"/>
        <v>0</v>
      </c>
      <c r="G89" s="5">
        <f t="shared" si="33"/>
        <v>0</v>
      </c>
      <c r="H89" s="5">
        <f t="shared" si="33"/>
        <v>0</v>
      </c>
    </row>
    <row r="90" spans="1:8" x14ac:dyDescent="0.35">
      <c r="A90" s="5">
        <f t="shared" si="27"/>
        <v>0</v>
      </c>
      <c r="B90" s="5">
        <f t="shared" si="34"/>
        <v>0</v>
      </c>
      <c r="C90" s="5">
        <f t="shared" si="33"/>
        <v>0</v>
      </c>
      <c r="D90" s="5">
        <f t="shared" si="33"/>
        <v>0</v>
      </c>
      <c r="E90" s="5">
        <f t="shared" si="33"/>
        <v>0</v>
      </c>
      <c r="F90" s="5">
        <f t="shared" si="33"/>
        <v>0</v>
      </c>
      <c r="G90" s="5">
        <f t="shared" si="33"/>
        <v>0</v>
      </c>
      <c r="H90" s="5">
        <f t="shared" si="33"/>
        <v>0</v>
      </c>
    </row>
    <row r="91" spans="1:8" x14ac:dyDescent="0.35">
      <c r="A91" s="5">
        <f t="shared" si="27"/>
        <v>0</v>
      </c>
      <c r="B91" s="5">
        <f t="shared" ref="B91:B98" si="35">H33*$B$72</f>
        <v>0</v>
      </c>
      <c r="C91" s="5">
        <f t="shared" si="33"/>
        <v>0</v>
      </c>
      <c r="D91" s="5">
        <f t="shared" ref="D91:D94" si="36">(C91/C$72)*D$72</f>
        <v>0</v>
      </c>
      <c r="E91" s="5">
        <f t="shared" ref="E91:E94" si="37">(D91/D$72)*E$72</f>
        <v>0</v>
      </c>
      <c r="F91" s="5">
        <f t="shared" ref="F91:F94" si="38">(E91/E$72)*F$72</f>
        <v>0</v>
      </c>
      <c r="G91" s="5">
        <f t="shared" ref="G91:G94" si="39">(F91/F$72)*G$72</f>
        <v>0</v>
      </c>
      <c r="H91" s="5">
        <f t="shared" si="33"/>
        <v>0</v>
      </c>
    </row>
    <row r="92" spans="1:8" x14ac:dyDescent="0.35">
      <c r="A92" s="5">
        <f t="shared" si="27"/>
        <v>0</v>
      </c>
      <c r="B92" s="5">
        <f t="shared" si="35"/>
        <v>0</v>
      </c>
      <c r="C92" s="5">
        <f t="shared" si="33"/>
        <v>0</v>
      </c>
      <c r="D92" s="5">
        <f t="shared" si="36"/>
        <v>0</v>
      </c>
      <c r="E92" s="5">
        <f t="shared" si="37"/>
        <v>0</v>
      </c>
      <c r="F92" s="5">
        <f t="shared" si="38"/>
        <v>0</v>
      </c>
      <c r="G92" s="5">
        <f t="shared" si="39"/>
        <v>0</v>
      </c>
      <c r="H92" s="5"/>
    </row>
    <row r="93" spans="1:8" x14ac:dyDescent="0.35">
      <c r="A93" s="5">
        <f t="shared" si="27"/>
        <v>0</v>
      </c>
      <c r="B93" s="5">
        <f t="shared" si="35"/>
        <v>0</v>
      </c>
      <c r="C93" s="5">
        <f t="shared" si="33"/>
        <v>0</v>
      </c>
      <c r="D93" s="5">
        <f t="shared" si="36"/>
        <v>0</v>
      </c>
      <c r="E93" s="5">
        <f t="shared" si="37"/>
        <v>0</v>
      </c>
      <c r="F93" s="5">
        <f t="shared" si="38"/>
        <v>0</v>
      </c>
      <c r="G93" s="5">
        <f t="shared" si="39"/>
        <v>0</v>
      </c>
      <c r="H93" s="5"/>
    </row>
    <row r="94" spans="1:8" x14ac:dyDescent="0.35">
      <c r="A94" s="5">
        <f t="shared" si="27"/>
        <v>0</v>
      </c>
      <c r="B94" s="5">
        <f t="shared" si="35"/>
        <v>0</v>
      </c>
      <c r="C94" s="5">
        <f t="shared" si="33"/>
        <v>0</v>
      </c>
      <c r="D94" s="5">
        <f t="shared" si="36"/>
        <v>0</v>
      </c>
      <c r="E94" s="5">
        <f t="shared" si="37"/>
        <v>0</v>
      </c>
      <c r="F94" s="5">
        <f t="shared" si="38"/>
        <v>0</v>
      </c>
      <c r="G94" s="5">
        <f t="shared" si="39"/>
        <v>0</v>
      </c>
      <c r="H94" s="5"/>
    </row>
    <row r="95" spans="1:8" x14ac:dyDescent="0.35">
      <c r="A95" s="5" t="str">
        <f t="shared" si="27"/>
        <v>Pomegranate</v>
      </c>
      <c r="B95" s="5">
        <f t="shared" si="35"/>
        <v>0</v>
      </c>
      <c r="C95" s="5">
        <f t="shared" si="33"/>
        <v>0</v>
      </c>
      <c r="D95" s="5">
        <f t="shared" si="33"/>
        <v>0</v>
      </c>
      <c r="E95" s="5">
        <f t="shared" si="33"/>
        <v>0</v>
      </c>
      <c r="F95" s="5">
        <f t="shared" si="33"/>
        <v>0</v>
      </c>
      <c r="G95" s="5">
        <f t="shared" si="33"/>
        <v>0</v>
      </c>
      <c r="H95" s="5">
        <f t="shared" si="33"/>
        <v>0</v>
      </c>
    </row>
    <row r="96" spans="1:8" x14ac:dyDescent="0.35">
      <c r="A96" s="5" t="str">
        <f t="shared" si="27"/>
        <v>Custard Apple</v>
      </c>
      <c r="B96" s="5">
        <f t="shared" si="35"/>
        <v>0</v>
      </c>
      <c r="C96" s="5">
        <f t="shared" ref="C96:H98" si="40">(B96/B$72)*C$72</f>
        <v>0</v>
      </c>
      <c r="D96" s="5">
        <f t="shared" si="40"/>
        <v>0</v>
      </c>
      <c r="E96" s="5">
        <f t="shared" si="40"/>
        <v>0</v>
      </c>
      <c r="F96" s="5">
        <f t="shared" si="40"/>
        <v>0</v>
      </c>
      <c r="G96" s="5">
        <f t="shared" si="40"/>
        <v>0</v>
      </c>
      <c r="H96" s="5">
        <f t="shared" si="40"/>
        <v>0</v>
      </c>
    </row>
    <row r="97" spans="1:9" x14ac:dyDescent="0.35">
      <c r="A97" s="5" t="str">
        <f t="shared" si="27"/>
        <v>Guava</v>
      </c>
      <c r="B97" s="5">
        <f t="shared" si="35"/>
        <v>0</v>
      </c>
      <c r="C97" s="5">
        <f t="shared" si="40"/>
        <v>0</v>
      </c>
      <c r="D97" s="5">
        <f t="shared" si="40"/>
        <v>0</v>
      </c>
      <c r="E97" s="5">
        <f t="shared" si="40"/>
        <v>0</v>
      </c>
      <c r="F97" s="5">
        <f t="shared" si="40"/>
        <v>0</v>
      </c>
      <c r="G97" s="5">
        <f t="shared" si="40"/>
        <v>0</v>
      </c>
      <c r="H97" s="5">
        <f t="shared" si="40"/>
        <v>0</v>
      </c>
    </row>
    <row r="98" spans="1:9" x14ac:dyDescent="0.35">
      <c r="A98" s="5" t="str">
        <f t="shared" si="27"/>
        <v>Citrus</v>
      </c>
      <c r="B98" s="5">
        <f t="shared" si="35"/>
        <v>0</v>
      </c>
      <c r="C98" s="5">
        <f t="shared" si="40"/>
        <v>0</v>
      </c>
      <c r="D98" s="5">
        <f t="shared" ref="D98" si="41">(C98/C$72)*D$72</f>
        <v>0</v>
      </c>
      <c r="E98" s="5">
        <f t="shared" ref="E98" si="42">(D98/D$72)*E$72</f>
        <v>0</v>
      </c>
      <c r="F98" s="5">
        <f t="shared" ref="F98" si="43">(E98/E$72)*F$72</f>
        <v>0</v>
      </c>
      <c r="G98" s="5">
        <f t="shared" ref="G98" si="44">(F98/F$72)*G$72</f>
        <v>0</v>
      </c>
      <c r="H98" s="5">
        <f t="shared" ref="H98" si="45">(G98/G$72)*H$72</f>
        <v>0</v>
      </c>
      <c r="I98" s="66"/>
    </row>
    <row r="99" spans="1:9" ht="17.5" x14ac:dyDescent="0.35">
      <c r="A99" s="483" t="s">
        <v>564</v>
      </c>
      <c r="B99" s="484"/>
      <c r="C99" s="484"/>
      <c r="D99" s="484"/>
      <c r="E99" s="484"/>
      <c r="F99" s="484"/>
      <c r="G99" s="484"/>
      <c r="H99" s="485"/>
    </row>
    <row r="100" spans="1:9" x14ac:dyDescent="0.35">
      <c r="A100" s="488" t="s">
        <v>0</v>
      </c>
      <c r="B100" s="96">
        <v>0.65</v>
      </c>
      <c r="C100" s="97">
        <f>B100+0.05</f>
        <v>0.70000000000000007</v>
      </c>
      <c r="D100" s="97">
        <f t="shared" ref="D100:G100" si="46">C100+0.05</f>
        <v>0.75000000000000011</v>
      </c>
      <c r="E100" s="97">
        <f t="shared" si="46"/>
        <v>0.80000000000000016</v>
      </c>
      <c r="F100" s="97">
        <f t="shared" si="46"/>
        <v>0.8500000000000002</v>
      </c>
      <c r="G100" s="97">
        <f t="shared" si="46"/>
        <v>0.90000000000000024</v>
      </c>
      <c r="H100" s="97">
        <f>G100+0.05</f>
        <v>0.95000000000000029</v>
      </c>
    </row>
    <row r="101" spans="1:9" x14ac:dyDescent="0.35">
      <c r="A101" s="489"/>
      <c r="B101" s="74" t="s">
        <v>2</v>
      </c>
      <c r="C101" s="74" t="s">
        <v>3</v>
      </c>
      <c r="D101" s="74" t="s">
        <v>4</v>
      </c>
      <c r="E101" s="74" t="s">
        <v>5</v>
      </c>
      <c r="F101" s="74" t="s">
        <v>6</v>
      </c>
      <c r="G101" s="74" t="s">
        <v>165</v>
      </c>
      <c r="H101" s="74" t="s">
        <v>164</v>
      </c>
    </row>
    <row r="102" spans="1:9" s="6" customFormat="1" x14ac:dyDescent="0.35">
      <c r="A102" s="5" t="str">
        <f t="shared" ref="A102:A126" si="47">A74</f>
        <v>Onion</v>
      </c>
      <c r="B102" s="5">
        <f t="shared" ref="B102:B110" si="48">D14*$B$100</f>
        <v>0</v>
      </c>
      <c r="C102" s="72">
        <f t="shared" ref="C102:H117" si="49">(B102/B$100)*C$100</f>
        <v>0</v>
      </c>
      <c r="D102" s="72">
        <f t="shared" si="49"/>
        <v>0</v>
      </c>
      <c r="E102" s="72">
        <f t="shared" si="49"/>
        <v>0</v>
      </c>
      <c r="F102" s="72">
        <f t="shared" si="49"/>
        <v>0</v>
      </c>
      <c r="G102" s="72">
        <f t="shared" si="49"/>
        <v>0</v>
      </c>
      <c r="H102" s="72">
        <f t="shared" si="49"/>
        <v>0</v>
      </c>
    </row>
    <row r="103" spans="1:9" x14ac:dyDescent="0.35">
      <c r="A103" s="5" t="str">
        <f t="shared" si="47"/>
        <v>Tomato</v>
      </c>
      <c r="B103" s="5">
        <f t="shared" si="48"/>
        <v>0</v>
      </c>
      <c r="C103" s="72">
        <f t="shared" si="49"/>
        <v>0</v>
      </c>
      <c r="D103" s="72">
        <f>(C103/C100)*D100</f>
        <v>0</v>
      </c>
      <c r="E103" s="72">
        <f t="shared" ref="E103:G103" si="50">(D103/D100)*E100</f>
        <v>0</v>
      </c>
      <c r="F103" s="72">
        <f t="shared" si="50"/>
        <v>0</v>
      </c>
      <c r="G103" s="72">
        <f t="shared" si="50"/>
        <v>0</v>
      </c>
      <c r="H103" s="72">
        <f>(G103/G100)*H100</f>
        <v>0</v>
      </c>
    </row>
    <row r="104" spans="1:9" x14ac:dyDescent="0.35">
      <c r="A104" s="5" t="str">
        <f t="shared" si="47"/>
        <v>Okra</v>
      </c>
      <c r="B104" s="5">
        <f t="shared" si="48"/>
        <v>0</v>
      </c>
      <c r="C104" s="72">
        <f t="shared" si="49"/>
        <v>0</v>
      </c>
      <c r="D104" s="72">
        <f t="shared" si="49"/>
        <v>0</v>
      </c>
      <c r="E104" s="72">
        <f t="shared" si="49"/>
        <v>0</v>
      </c>
      <c r="F104" s="72">
        <f t="shared" si="49"/>
        <v>0</v>
      </c>
      <c r="G104" s="72">
        <f t="shared" si="49"/>
        <v>0</v>
      </c>
      <c r="H104" s="72">
        <f t="shared" si="49"/>
        <v>0</v>
      </c>
    </row>
    <row r="105" spans="1:9" x14ac:dyDescent="0.35">
      <c r="A105" s="5" t="str">
        <f t="shared" si="47"/>
        <v>Chilli</v>
      </c>
      <c r="B105" s="5">
        <f t="shared" si="48"/>
        <v>0</v>
      </c>
      <c r="C105" s="72">
        <f t="shared" si="49"/>
        <v>0</v>
      </c>
      <c r="D105" s="72">
        <f t="shared" si="49"/>
        <v>0</v>
      </c>
      <c r="E105" s="72">
        <f t="shared" si="49"/>
        <v>0</v>
      </c>
      <c r="F105" s="72">
        <f t="shared" si="49"/>
        <v>0</v>
      </c>
      <c r="G105" s="72">
        <f t="shared" si="49"/>
        <v>0</v>
      </c>
      <c r="H105" s="72">
        <f t="shared" si="49"/>
        <v>0</v>
      </c>
    </row>
    <row r="106" spans="1:9" x14ac:dyDescent="0.35">
      <c r="A106" s="5" t="str">
        <f t="shared" si="47"/>
        <v>Potato</v>
      </c>
      <c r="B106" s="101">
        <f t="shared" si="48"/>
        <v>0</v>
      </c>
      <c r="C106" s="72">
        <f t="shared" si="49"/>
        <v>0</v>
      </c>
      <c r="D106" s="72">
        <f t="shared" si="49"/>
        <v>0</v>
      </c>
      <c r="E106" s="72">
        <f t="shared" si="49"/>
        <v>0</v>
      </c>
      <c r="F106" s="72">
        <f t="shared" si="49"/>
        <v>0</v>
      </c>
      <c r="G106" s="72">
        <f t="shared" si="49"/>
        <v>0</v>
      </c>
      <c r="H106" s="72">
        <f t="shared" si="49"/>
        <v>0</v>
      </c>
    </row>
    <row r="107" spans="1:9" x14ac:dyDescent="0.35">
      <c r="A107" s="5">
        <f t="shared" si="47"/>
        <v>0</v>
      </c>
      <c r="B107" s="5">
        <f t="shared" si="48"/>
        <v>0</v>
      </c>
      <c r="C107" s="72">
        <f t="shared" si="49"/>
        <v>0</v>
      </c>
      <c r="D107" s="72">
        <f t="shared" si="49"/>
        <v>0</v>
      </c>
      <c r="E107" s="72">
        <f t="shared" si="49"/>
        <v>0</v>
      </c>
      <c r="F107" s="72">
        <f t="shared" si="49"/>
        <v>0</v>
      </c>
      <c r="G107" s="72">
        <f t="shared" si="49"/>
        <v>0</v>
      </c>
      <c r="H107" s="72">
        <f t="shared" si="49"/>
        <v>0</v>
      </c>
    </row>
    <row r="108" spans="1:9" x14ac:dyDescent="0.35">
      <c r="A108" s="5">
        <f t="shared" si="47"/>
        <v>0</v>
      </c>
      <c r="B108" s="5">
        <f t="shared" si="48"/>
        <v>0</v>
      </c>
      <c r="C108" s="72">
        <f t="shared" si="49"/>
        <v>0</v>
      </c>
      <c r="D108" s="72">
        <f t="shared" si="49"/>
        <v>0</v>
      </c>
      <c r="E108" s="72">
        <f t="shared" si="49"/>
        <v>0</v>
      </c>
      <c r="F108" s="72">
        <f t="shared" si="49"/>
        <v>0</v>
      </c>
      <c r="G108" s="72">
        <f t="shared" si="49"/>
        <v>0</v>
      </c>
      <c r="H108" s="72">
        <f t="shared" si="49"/>
        <v>0</v>
      </c>
    </row>
    <row r="109" spans="1:9" x14ac:dyDescent="0.35">
      <c r="A109" s="5">
        <f t="shared" si="47"/>
        <v>0</v>
      </c>
      <c r="B109" s="5">
        <f t="shared" si="48"/>
        <v>0</v>
      </c>
      <c r="C109" s="72">
        <f t="shared" si="49"/>
        <v>0</v>
      </c>
      <c r="D109" s="72">
        <f t="shared" si="49"/>
        <v>0</v>
      </c>
      <c r="E109" s="72">
        <f t="shared" si="49"/>
        <v>0</v>
      </c>
      <c r="F109" s="72">
        <f t="shared" si="49"/>
        <v>0</v>
      </c>
      <c r="G109" s="72">
        <f t="shared" si="49"/>
        <v>0</v>
      </c>
      <c r="H109" s="72">
        <f t="shared" si="49"/>
        <v>0</v>
      </c>
    </row>
    <row r="110" spans="1:9" x14ac:dyDescent="0.35">
      <c r="A110" s="5">
        <f t="shared" si="47"/>
        <v>0</v>
      </c>
      <c r="B110" s="5">
        <f t="shared" si="48"/>
        <v>0</v>
      </c>
      <c r="C110" s="72">
        <f t="shared" si="49"/>
        <v>0</v>
      </c>
      <c r="D110" s="72">
        <f t="shared" si="49"/>
        <v>0</v>
      </c>
      <c r="E110" s="72">
        <f t="shared" si="49"/>
        <v>0</v>
      </c>
      <c r="F110" s="72">
        <f t="shared" si="49"/>
        <v>0</v>
      </c>
      <c r="G110" s="72">
        <f t="shared" si="49"/>
        <v>0</v>
      </c>
      <c r="H110" s="72">
        <f t="shared" si="49"/>
        <v>0</v>
      </c>
    </row>
    <row r="111" spans="1:9" x14ac:dyDescent="0.35">
      <c r="A111" s="5" t="str">
        <f t="shared" si="47"/>
        <v>Onion</v>
      </c>
      <c r="B111" s="5">
        <f t="shared" ref="B111:B118" si="51">D24*$B$100</f>
        <v>0</v>
      </c>
      <c r="C111" s="72">
        <f t="shared" si="49"/>
        <v>0</v>
      </c>
      <c r="D111" s="72">
        <f t="shared" si="49"/>
        <v>0</v>
      </c>
      <c r="E111" s="72">
        <f t="shared" si="49"/>
        <v>0</v>
      </c>
      <c r="F111" s="72">
        <f t="shared" si="49"/>
        <v>0</v>
      </c>
      <c r="G111" s="72">
        <f t="shared" si="49"/>
        <v>0</v>
      </c>
      <c r="H111" s="72">
        <f t="shared" si="49"/>
        <v>0</v>
      </c>
    </row>
    <row r="112" spans="1:9" x14ac:dyDescent="0.35">
      <c r="A112" s="5" t="str">
        <f t="shared" si="47"/>
        <v>Tomato</v>
      </c>
      <c r="B112" s="5">
        <f t="shared" si="51"/>
        <v>0</v>
      </c>
      <c r="C112" s="72">
        <f t="shared" si="49"/>
        <v>0</v>
      </c>
      <c r="D112" s="72">
        <f t="shared" si="49"/>
        <v>0</v>
      </c>
      <c r="E112" s="72">
        <f t="shared" si="49"/>
        <v>0</v>
      </c>
      <c r="F112" s="72">
        <f t="shared" si="49"/>
        <v>0</v>
      </c>
      <c r="G112" s="72">
        <f t="shared" si="49"/>
        <v>0</v>
      </c>
      <c r="H112" s="72">
        <f t="shared" si="49"/>
        <v>0</v>
      </c>
    </row>
    <row r="113" spans="1:9" x14ac:dyDescent="0.35">
      <c r="A113" s="5" t="str">
        <f t="shared" si="47"/>
        <v>Okra</v>
      </c>
      <c r="B113" s="5">
        <f t="shared" si="51"/>
        <v>0</v>
      </c>
      <c r="C113" s="72">
        <f t="shared" si="49"/>
        <v>0</v>
      </c>
      <c r="D113" s="72">
        <f t="shared" si="49"/>
        <v>0</v>
      </c>
      <c r="E113" s="72">
        <f t="shared" si="49"/>
        <v>0</v>
      </c>
      <c r="F113" s="72">
        <f t="shared" si="49"/>
        <v>0</v>
      </c>
      <c r="G113" s="72">
        <f t="shared" si="49"/>
        <v>0</v>
      </c>
      <c r="H113" s="72">
        <f t="shared" si="49"/>
        <v>0</v>
      </c>
    </row>
    <row r="114" spans="1:9" x14ac:dyDescent="0.35">
      <c r="A114" s="5" t="str">
        <f t="shared" si="47"/>
        <v>Chilli</v>
      </c>
      <c r="B114" s="5">
        <f t="shared" si="51"/>
        <v>0</v>
      </c>
      <c r="C114" s="72">
        <f t="shared" si="49"/>
        <v>0</v>
      </c>
      <c r="D114" s="72">
        <f t="shared" si="49"/>
        <v>0</v>
      </c>
      <c r="E114" s="72">
        <f t="shared" si="49"/>
        <v>0</v>
      </c>
      <c r="F114" s="72">
        <f t="shared" si="49"/>
        <v>0</v>
      </c>
      <c r="G114" s="72">
        <f t="shared" si="49"/>
        <v>0</v>
      </c>
      <c r="H114" s="72">
        <f t="shared" si="49"/>
        <v>0</v>
      </c>
    </row>
    <row r="115" spans="1:9" x14ac:dyDescent="0.35">
      <c r="A115" s="5" t="str">
        <f t="shared" si="47"/>
        <v>Brinjal</v>
      </c>
      <c r="B115" s="5">
        <f t="shared" si="51"/>
        <v>0</v>
      </c>
      <c r="C115" s="72">
        <f t="shared" si="49"/>
        <v>0</v>
      </c>
      <c r="D115" s="72">
        <f t="shared" si="49"/>
        <v>0</v>
      </c>
      <c r="E115" s="72">
        <f t="shared" si="49"/>
        <v>0</v>
      </c>
      <c r="F115" s="72">
        <f t="shared" si="49"/>
        <v>0</v>
      </c>
      <c r="G115" s="72">
        <f t="shared" si="49"/>
        <v>0</v>
      </c>
      <c r="H115" s="72">
        <f t="shared" si="49"/>
        <v>0</v>
      </c>
    </row>
    <row r="116" spans="1:9" x14ac:dyDescent="0.35">
      <c r="A116" s="5">
        <f t="shared" si="47"/>
        <v>0</v>
      </c>
      <c r="B116" s="5">
        <f t="shared" si="51"/>
        <v>0</v>
      </c>
      <c r="C116" s="72">
        <f t="shared" si="49"/>
        <v>0</v>
      </c>
      <c r="D116" s="72">
        <f t="shared" si="49"/>
        <v>0</v>
      </c>
      <c r="E116" s="72">
        <f t="shared" si="49"/>
        <v>0</v>
      </c>
      <c r="F116" s="72">
        <f t="shared" si="49"/>
        <v>0</v>
      </c>
      <c r="G116" s="72">
        <f t="shared" si="49"/>
        <v>0</v>
      </c>
      <c r="H116" s="72">
        <f t="shared" si="49"/>
        <v>0</v>
      </c>
    </row>
    <row r="117" spans="1:9" x14ac:dyDescent="0.35">
      <c r="A117" s="5">
        <f t="shared" si="47"/>
        <v>0</v>
      </c>
      <c r="B117" s="5">
        <f t="shared" si="51"/>
        <v>0</v>
      </c>
      <c r="C117" s="72">
        <f t="shared" si="49"/>
        <v>0</v>
      </c>
      <c r="D117" s="72">
        <f t="shared" si="49"/>
        <v>0</v>
      </c>
      <c r="E117" s="72">
        <f t="shared" si="49"/>
        <v>0</v>
      </c>
      <c r="F117" s="72">
        <f t="shared" si="49"/>
        <v>0</v>
      </c>
      <c r="G117" s="72">
        <f t="shared" si="49"/>
        <v>0</v>
      </c>
      <c r="H117" s="72">
        <f t="shared" si="49"/>
        <v>0</v>
      </c>
    </row>
    <row r="118" spans="1:9" x14ac:dyDescent="0.35">
      <c r="A118" s="5">
        <f t="shared" si="47"/>
        <v>0</v>
      </c>
      <c r="B118" s="5">
        <f t="shared" si="51"/>
        <v>0</v>
      </c>
      <c r="C118" s="72">
        <f t="shared" ref="C118:H126" si="52">(B118/B$100)*C$100</f>
        <v>0</v>
      </c>
      <c r="D118" s="72">
        <f t="shared" si="52"/>
        <v>0</v>
      </c>
      <c r="E118" s="72">
        <f t="shared" si="52"/>
        <v>0</v>
      </c>
      <c r="F118" s="72">
        <f t="shared" si="52"/>
        <v>0</v>
      </c>
      <c r="G118" s="72">
        <f t="shared" si="52"/>
        <v>0</v>
      </c>
      <c r="H118" s="72">
        <f t="shared" si="52"/>
        <v>0</v>
      </c>
    </row>
    <row r="119" spans="1:9" x14ac:dyDescent="0.35">
      <c r="A119" s="5">
        <f t="shared" si="47"/>
        <v>0</v>
      </c>
      <c r="B119" s="5">
        <f t="shared" ref="B119:B126" si="53">D33*$B$100</f>
        <v>0</v>
      </c>
      <c r="C119" s="72">
        <f t="shared" si="52"/>
        <v>0</v>
      </c>
      <c r="D119" s="72">
        <f t="shared" si="52"/>
        <v>0</v>
      </c>
      <c r="E119" s="72">
        <f t="shared" si="52"/>
        <v>0</v>
      </c>
      <c r="F119" s="72">
        <f t="shared" si="52"/>
        <v>0</v>
      </c>
      <c r="G119" s="72">
        <f t="shared" si="52"/>
        <v>0</v>
      </c>
      <c r="H119" s="72">
        <f t="shared" si="52"/>
        <v>0</v>
      </c>
    </row>
    <row r="120" spans="1:9" x14ac:dyDescent="0.35">
      <c r="A120" s="5">
        <f t="shared" si="47"/>
        <v>0</v>
      </c>
      <c r="B120" s="5">
        <f t="shared" si="53"/>
        <v>0</v>
      </c>
      <c r="C120" s="72">
        <f t="shared" si="52"/>
        <v>0</v>
      </c>
      <c r="D120" s="72">
        <f t="shared" ref="D120:D122" si="54">(C120/C$100)*D$100</f>
        <v>0</v>
      </c>
      <c r="E120" s="72">
        <f t="shared" ref="E120:E122" si="55">(D120/D$100)*E$100</f>
        <v>0</v>
      </c>
      <c r="F120" s="72">
        <f t="shared" ref="F120:F122" si="56">(E120/E$100)*F$100</f>
        <v>0</v>
      </c>
      <c r="G120" s="72">
        <f t="shared" ref="G120:G122" si="57">(F120/F$100)*G$100</f>
        <v>0</v>
      </c>
      <c r="H120" s="72">
        <f t="shared" si="52"/>
        <v>0</v>
      </c>
    </row>
    <row r="121" spans="1:9" x14ac:dyDescent="0.35">
      <c r="A121" s="5">
        <f t="shared" si="47"/>
        <v>0</v>
      </c>
      <c r="B121" s="5">
        <f t="shared" si="53"/>
        <v>0</v>
      </c>
      <c r="C121" s="72">
        <f t="shared" si="52"/>
        <v>0</v>
      </c>
      <c r="D121" s="72">
        <f t="shared" si="54"/>
        <v>0</v>
      </c>
      <c r="E121" s="72">
        <f t="shared" si="55"/>
        <v>0</v>
      </c>
      <c r="F121" s="72">
        <f t="shared" si="56"/>
        <v>0</v>
      </c>
      <c r="G121" s="72">
        <f t="shared" si="57"/>
        <v>0</v>
      </c>
      <c r="H121" s="72">
        <f t="shared" si="52"/>
        <v>0</v>
      </c>
    </row>
    <row r="122" spans="1:9" x14ac:dyDescent="0.35">
      <c r="A122" s="5">
        <f t="shared" si="47"/>
        <v>0</v>
      </c>
      <c r="B122" s="5">
        <f t="shared" si="53"/>
        <v>0</v>
      </c>
      <c r="C122" s="72">
        <f t="shared" si="52"/>
        <v>0</v>
      </c>
      <c r="D122" s="72">
        <f t="shared" si="54"/>
        <v>0</v>
      </c>
      <c r="E122" s="72">
        <f t="shared" si="55"/>
        <v>0</v>
      </c>
      <c r="F122" s="72">
        <f t="shared" si="56"/>
        <v>0</v>
      </c>
      <c r="G122" s="72">
        <f t="shared" si="57"/>
        <v>0</v>
      </c>
      <c r="H122" s="72">
        <f t="shared" si="52"/>
        <v>0</v>
      </c>
    </row>
    <row r="123" spans="1:9" x14ac:dyDescent="0.35">
      <c r="A123" s="5" t="str">
        <f t="shared" si="47"/>
        <v>Pomegranate</v>
      </c>
      <c r="B123" s="5">
        <f t="shared" si="53"/>
        <v>0</v>
      </c>
      <c r="C123" s="72">
        <f t="shared" si="52"/>
        <v>0</v>
      </c>
      <c r="D123" s="72">
        <f t="shared" si="52"/>
        <v>0</v>
      </c>
      <c r="E123" s="72">
        <f t="shared" si="52"/>
        <v>0</v>
      </c>
      <c r="F123" s="72">
        <f t="shared" si="52"/>
        <v>0</v>
      </c>
      <c r="G123" s="72">
        <f t="shared" si="52"/>
        <v>0</v>
      </c>
      <c r="H123" s="72">
        <f t="shared" si="52"/>
        <v>0</v>
      </c>
    </row>
    <row r="124" spans="1:9" x14ac:dyDescent="0.35">
      <c r="A124" s="5" t="str">
        <f t="shared" si="47"/>
        <v>Custard Apple</v>
      </c>
      <c r="B124" s="5">
        <f t="shared" si="53"/>
        <v>0</v>
      </c>
      <c r="C124" s="72">
        <f t="shared" si="52"/>
        <v>0</v>
      </c>
      <c r="D124" s="72">
        <f t="shared" ref="D124" si="58">(C124/C$100)*D$100</f>
        <v>0</v>
      </c>
      <c r="E124" s="72">
        <f t="shared" ref="E124" si="59">(D124/D$100)*E$100</f>
        <v>0</v>
      </c>
      <c r="F124" s="72">
        <f t="shared" ref="F124" si="60">(E124/E$100)*F$100</f>
        <v>0</v>
      </c>
      <c r="G124" s="72">
        <f t="shared" ref="G124" si="61">(F124/F$100)*G$100</f>
        <v>0</v>
      </c>
      <c r="H124" s="72">
        <f t="shared" si="52"/>
        <v>0</v>
      </c>
    </row>
    <row r="125" spans="1:9" x14ac:dyDescent="0.35">
      <c r="A125" s="5" t="str">
        <f t="shared" si="47"/>
        <v>Guava</v>
      </c>
      <c r="B125" s="5">
        <f t="shared" si="53"/>
        <v>0</v>
      </c>
      <c r="C125" s="72">
        <f t="shared" si="52"/>
        <v>0</v>
      </c>
      <c r="D125" s="72">
        <f t="shared" si="52"/>
        <v>0</v>
      </c>
      <c r="E125" s="72">
        <f t="shared" si="52"/>
        <v>0</v>
      </c>
      <c r="F125" s="72">
        <f t="shared" si="52"/>
        <v>0</v>
      </c>
      <c r="G125" s="72">
        <f t="shared" si="52"/>
        <v>0</v>
      </c>
      <c r="H125" s="72">
        <f t="shared" si="52"/>
        <v>0</v>
      </c>
    </row>
    <row r="126" spans="1:9" x14ac:dyDescent="0.35">
      <c r="A126" s="5" t="str">
        <f t="shared" si="47"/>
        <v>Citrus</v>
      </c>
      <c r="B126" s="5">
        <f t="shared" si="53"/>
        <v>0</v>
      </c>
      <c r="C126" s="72">
        <f t="shared" si="52"/>
        <v>0</v>
      </c>
      <c r="D126" s="72">
        <f t="shared" si="52"/>
        <v>0</v>
      </c>
      <c r="E126" s="72">
        <f t="shared" si="52"/>
        <v>0</v>
      </c>
      <c r="F126" s="72">
        <f t="shared" si="52"/>
        <v>0</v>
      </c>
      <c r="G126" s="72">
        <f t="shared" si="52"/>
        <v>0</v>
      </c>
      <c r="H126" s="72">
        <f t="shared" si="52"/>
        <v>0</v>
      </c>
    </row>
    <row r="128" spans="1:9" x14ac:dyDescent="0.35">
      <c r="C128" s="3"/>
      <c r="D128" s="4"/>
      <c r="E128" s="4"/>
      <c r="F128" s="4"/>
      <c r="G128" s="4"/>
      <c r="H128" s="4"/>
      <c r="I128" s="4"/>
    </row>
    <row r="129" spans="1:9" x14ac:dyDescent="0.35">
      <c r="A129" t="s">
        <v>538</v>
      </c>
      <c r="C129" s="81"/>
      <c r="D129" s="81"/>
      <c r="E129" s="81"/>
      <c r="F129" s="81"/>
      <c r="G129" s="81"/>
      <c r="H129" s="81"/>
      <c r="I129" s="81"/>
    </row>
    <row r="130" spans="1:9" x14ac:dyDescent="0.35">
      <c r="A130">
        <v>1</v>
      </c>
      <c r="B130" t="s">
        <v>539</v>
      </c>
    </row>
    <row r="131" spans="1:9" x14ac:dyDescent="0.35">
      <c r="A131">
        <v>2</v>
      </c>
      <c r="B131" t="s">
        <v>540</v>
      </c>
    </row>
    <row r="132" spans="1:9" x14ac:dyDescent="0.35">
      <c r="A132">
        <v>3</v>
      </c>
      <c r="B132" t="s">
        <v>541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313"/>
  <sheetViews>
    <sheetView view="pageBreakPreview" topLeftCell="A238" zoomScale="80" zoomScaleSheetLayoutView="80" workbookViewId="0">
      <selection activeCell="C284" sqref="C284"/>
    </sheetView>
  </sheetViews>
  <sheetFormatPr defaultColWidth="8.7265625" defaultRowHeight="14.5" x14ac:dyDescent="0.35"/>
  <cols>
    <col min="1" max="1" width="42.453125" style="107" bestFit="1" customWidth="1"/>
    <col min="2" max="2" width="23.453125" style="107" customWidth="1"/>
    <col min="3" max="3" width="13.81640625" style="107" customWidth="1"/>
    <col min="4" max="5" width="15.81640625" style="107" bestFit="1" customWidth="1"/>
    <col min="6" max="6" width="18.1796875" style="107" bestFit="1" customWidth="1"/>
    <col min="7" max="10" width="15.81640625" style="107" bestFit="1" customWidth="1"/>
    <col min="11" max="11" width="10.54296875" style="107" bestFit="1" customWidth="1"/>
    <col min="12" max="12" width="8.7265625" style="107"/>
    <col min="13" max="13" width="22.81640625" style="107" bestFit="1" customWidth="1"/>
    <col min="14" max="14" width="12.81640625" style="107" bestFit="1" customWidth="1"/>
    <col min="15" max="16384" width="8.7265625" style="107"/>
  </cols>
  <sheetData>
    <row r="2" spans="1:8" x14ac:dyDescent="0.35">
      <c r="A2" s="423" t="s">
        <v>565</v>
      </c>
      <c r="B2" s="423"/>
      <c r="C2" s="423"/>
      <c r="D2" s="423"/>
      <c r="E2" s="423"/>
      <c r="F2" s="423"/>
      <c r="G2" s="423"/>
      <c r="H2" s="423"/>
    </row>
    <row r="3" spans="1:8" x14ac:dyDescent="0.35">
      <c r="A3" s="423" t="s">
        <v>566</v>
      </c>
      <c r="B3" s="423"/>
      <c r="C3" s="423"/>
      <c r="D3" s="423"/>
      <c r="E3" s="423"/>
      <c r="F3" s="423"/>
      <c r="G3" s="423"/>
      <c r="H3" s="423"/>
    </row>
    <row r="4" spans="1:8" x14ac:dyDescent="0.35">
      <c r="F4" s="423" t="s">
        <v>474</v>
      </c>
      <c r="G4" s="423"/>
      <c r="H4" s="423"/>
    </row>
    <row r="5" spans="1:8" x14ac:dyDescent="0.35">
      <c r="A5" s="107" t="s">
        <v>157</v>
      </c>
      <c r="B5" s="180">
        <v>20</v>
      </c>
      <c r="C5" s="107" t="s">
        <v>450</v>
      </c>
      <c r="F5" s="181" t="s">
        <v>475</v>
      </c>
      <c r="G5" s="181" t="s">
        <v>476</v>
      </c>
    </row>
    <row r="6" spans="1:8" x14ac:dyDescent="0.35">
      <c r="A6" s="107" t="s">
        <v>158</v>
      </c>
      <c r="B6" s="182">
        <v>8</v>
      </c>
      <c r="F6" s="112" t="s">
        <v>472</v>
      </c>
      <c r="G6" s="183">
        <v>0.03</v>
      </c>
    </row>
    <row r="7" spans="1:8" x14ac:dyDescent="0.35">
      <c r="F7" s="112" t="s">
        <v>473</v>
      </c>
      <c r="G7" s="183">
        <v>0.05</v>
      </c>
    </row>
    <row r="8" spans="1:8" x14ac:dyDescent="0.35">
      <c r="A8" s="107" t="s">
        <v>513</v>
      </c>
      <c r="B8" s="107">
        <v>300</v>
      </c>
      <c r="F8" s="112"/>
      <c r="G8" s="183"/>
    </row>
    <row r="9" spans="1:8" x14ac:dyDescent="0.35">
      <c r="A9" s="110" t="s">
        <v>0</v>
      </c>
      <c r="B9" s="111" t="s">
        <v>2</v>
      </c>
      <c r="C9" s="111" t="s">
        <v>3</v>
      </c>
      <c r="D9" s="111" t="s">
        <v>4</v>
      </c>
      <c r="E9" s="111" t="s">
        <v>5</v>
      </c>
      <c r="F9" s="111" t="s">
        <v>6</v>
      </c>
      <c r="G9" s="111" t="s">
        <v>165</v>
      </c>
      <c r="H9" s="111" t="s">
        <v>164</v>
      </c>
    </row>
    <row r="10" spans="1:8" x14ac:dyDescent="0.35">
      <c r="A10" s="112" t="s">
        <v>449</v>
      </c>
      <c r="B10" s="498">
        <f>B33/($B$5*$B$6)</f>
        <v>162.03155625000002</v>
      </c>
      <c r="C10" s="498">
        <f t="shared" ref="C10:H10" si="0">C33/($B$5*$B$6)</f>
        <v>178.23471187500004</v>
      </c>
      <c r="D10" s="498">
        <f t="shared" si="0"/>
        <v>194.43786750000004</v>
      </c>
      <c r="E10" s="498">
        <f t="shared" si="0"/>
        <v>210.64102312500009</v>
      </c>
      <c r="F10" s="498">
        <f t="shared" si="0"/>
        <v>226.84417875000003</v>
      </c>
      <c r="G10" s="498">
        <f t="shared" si="0"/>
        <v>243.04733437500008</v>
      </c>
      <c r="H10" s="498">
        <f t="shared" si="0"/>
        <v>259.25049000000007</v>
      </c>
    </row>
    <row r="11" spans="1:8" x14ac:dyDescent="0.35">
      <c r="A11" s="185" t="str">
        <f>'10.Grain Production details'!A42</f>
        <v>Soybean</v>
      </c>
      <c r="B11" s="185">
        <f>'10.Grain Production details'!B42</f>
        <v>12980.75625</v>
      </c>
      <c r="C11" s="185">
        <f>'10.Grain Production details'!C42</f>
        <v>14278.831875000002</v>
      </c>
      <c r="D11" s="185">
        <f>'10.Grain Production details'!D42</f>
        <v>15576.907500000003</v>
      </c>
      <c r="E11" s="185">
        <f>'10.Grain Production details'!E42</f>
        <v>16874.983125000002</v>
      </c>
      <c r="F11" s="185">
        <f>'10.Grain Production details'!F42</f>
        <v>18173.058750000004</v>
      </c>
      <c r="G11" s="185">
        <f>'10.Grain Production details'!G42</f>
        <v>19471.134375000005</v>
      </c>
      <c r="H11" s="185">
        <f>'10.Grain Production details'!H42</f>
        <v>20769.210000000006</v>
      </c>
    </row>
    <row r="12" spans="1:8" x14ac:dyDescent="0.35">
      <c r="A12" s="185" t="str">
        <f>'10.Grain Production details'!A43</f>
        <v>Tur</v>
      </c>
      <c r="B12" s="185">
        <f>'10.Grain Production details'!B43</f>
        <v>1660.8375000000001</v>
      </c>
      <c r="C12" s="185">
        <f>'10.Grain Production details'!C43</f>
        <v>1826.9212500000003</v>
      </c>
      <c r="D12" s="185">
        <f>'10.Grain Production details'!D43</f>
        <v>1993.0050000000003</v>
      </c>
      <c r="E12" s="185">
        <f>'10.Grain Production details'!E43</f>
        <v>2159.0887500000003</v>
      </c>
      <c r="F12" s="185">
        <f>'10.Grain Production details'!F43</f>
        <v>2325.1725000000006</v>
      </c>
      <c r="G12" s="185">
        <f>'10.Grain Production details'!G43</f>
        <v>2491.2562500000008</v>
      </c>
      <c r="H12" s="185">
        <f>'10.Grain Production details'!H43</f>
        <v>2657.3400000000011</v>
      </c>
    </row>
    <row r="13" spans="1:8" x14ac:dyDescent="0.35">
      <c r="A13" s="185" t="str">
        <f>'10.Grain Production details'!A44</f>
        <v>Turmeric</v>
      </c>
      <c r="B13" s="185">
        <f>'10.Grain Production details'!B44</f>
        <v>0</v>
      </c>
      <c r="C13" s="185">
        <f>'10.Grain Production details'!C44</f>
        <v>0</v>
      </c>
      <c r="D13" s="185">
        <f>'10.Grain Production details'!D44</f>
        <v>0</v>
      </c>
      <c r="E13" s="185">
        <f>'10.Grain Production details'!E44</f>
        <v>0</v>
      </c>
      <c r="F13" s="185">
        <f>'10.Grain Production details'!F44</f>
        <v>0</v>
      </c>
      <c r="G13" s="185">
        <f>'10.Grain Production details'!G44</f>
        <v>0</v>
      </c>
      <c r="H13" s="185">
        <f>'10.Grain Production details'!H44</f>
        <v>0</v>
      </c>
    </row>
    <row r="14" spans="1:8" x14ac:dyDescent="0.35">
      <c r="A14" s="185" t="str">
        <f>'10.Grain Production details'!A45</f>
        <v>Moong</v>
      </c>
      <c r="B14" s="185">
        <f>'10.Grain Production details'!B45</f>
        <v>865.38374999999996</v>
      </c>
      <c r="C14" s="185">
        <f>'10.Grain Production details'!C45</f>
        <v>951.92212500000005</v>
      </c>
      <c r="D14" s="185">
        <f>'10.Grain Production details'!D45</f>
        <v>1038.4605000000001</v>
      </c>
      <c r="E14" s="185">
        <f>'10.Grain Production details'!E45</f>
        <v>1124.9988750000002</v>
      </c>
      <c r="F14" s="185">
        <f>'10.Grain Production details'!F45</f>
        <v>1211.5372500000003</v>
      </c>
      <c r="G14" s="185">
        <f>'10.Grain Production details'!G45</f>
        <v>1298.0756250000004</v>
      </c>
      <c r="H14" s="185">
        <f>'10.Grain Production details'!H45</f>
        <v>1384.6140000000005</v>
      </c>
    </row>
    <row r="15" spans="1:8" x14ac:dyDescent="0.35">
      <c r="A15" s="185" t="str">
        <f>'10.Grain Production details'!A46</f>
        <v>Maize</v>
      </c>
      <c r="B15" s="185">
        <f>'10.Grain Production details'!B46</f>
        <v>0</v>
      </c>
      <c r="C15" s="185">
        <f>'10.Grain Production details'!C46</f>
        <v>0</v>
      </c>
      <c r="D15" s="185">
        <f>'10.Grain Production details'!D46</f>
        <v>0</v>
      </c>
      <c r="E15" s="185">
        <f>'10.Grain Production details'!E46</f>
        <v>0</v>
      </c>
      <c r="F15" s="185">
        <f>'10.Grain Production details'!F46</f>
        <v>0</v>
      </c>
      <c r="G15" s="185">
        <f>'10.Grain Production details'!G46</f>
        <v>0</v>
      </c>
      <c r="H15" s="185">
        <f>'10.Grain Production details'!H46</f>
        <v>0</v>
      </c>
    </row>
    <row r="16" spans="1:8" x14ac:dyDescent="0.35">
      <c r="A16" s="185" t="str">
        <f>'10.Grain Production details'!A47</f>
        <v>Udid</v>
      </c>
      <c r="B16" s="185">
        <f>'10.Grain Production details'!B47</f>
        <v>865.38374999999996</v>
      </c>
      <c r="C16" s="185">
        <f>'10.Grain Production details'!C47</f>
        <v>951.92212500000005</v>
      </c>
      <c r="D16" s="185">
        <f>'10.Grain Production details'!D47</f>
        <v>1038.4605000000001</v>
      </c>
      <c r="E16" s="185">
        <f>'10.Grain Production details'!E47</f>
        <v>1124.9988750000002</v>
      </c>
      <c r="F16" s="185">
        <f>'10.Grain Production details'!F47</f>
        <v>1211.5372500000003</v>
      </c>
      <c r="G16" s="185">
        <f>'10.Grain Production details'!G47</f>
        <v>1298.0756250000004</v>
      </c>
      <c r="H16" s="185">
        <f>'10.Grain Production details'!H47</f>
        <v>1384.6140000000005</v>
      </c>
    </row>
    <row r="17" spans="1:8" x14ac:dyDescent="0.35">
      <c r="A17" s="185" t="str">
        <f>'10.Grain Production details'!A48</f>
        <v>Bajra</v>
      </c>
      <c r="B17" s="185">
        <f>'10.Grain Production details'!B48</f>
        <v>0</v>
      </c>
      <c r="C17" s="185">
        <f>'10.Grain Production details'!C48</f>
        <v>0</v>
      </c>
      <c r="D17" s="185">
        <f>'10.Grain Production details'!D48</f>
        <v>0</v>
      </c>
      <c r="E17" s="185">
        <f>'10.Grain Production details'!E48</f>
        <v>0</v>
      </c>
      <c r="F17" s="185">
        <f>'10.Grain Production details'!F48</f>
        <v>0</v>
      </c>
      <c r="G17" s="185">
        <f>'10.Grain Production details'!G48</f>
        <v>0</v>
      </c>
      <c r="H17" s="185">
        <f>'10.Grain Production details'!H48</f>
        <v>0</v>
      </c>
    </row>
    <row r="18" spans="1:8" x14ac:dyDescent="0.35">
      <c r="A18" s="185" t="str">
        <f>'10.Grain Production details'!A49</f>
        <v>Jawar</v>
      </c>
      <c r="B18" s="185">
        <f>'10.Grain Production details'!B49</f>
        <v>847.90125</v>
      </c>
      <c r="C18" s="185">
        <f>'10.Grain Production details'!C49</f>
        <v>932.69137500000011</v>
      </c>
      <c r="D18" s="185">
        <f>'10.Grain Production details'!D49</f>
        <v>1017.4815000000002</v>
      </c>
      <c r="E18" s="185">
        <f>'10.Grain Production details'!E49</f>
        <v>1102.2716250000003</v>
      </c>
      <c r="F18" s="185">
        <f>'10.Grain Production details'!F49</f>
        <v>1187.0617500000005</v>
      </c>
      <c r="G18" s="185">
        <f>'10.Grain Production details'!G49</f>
        <v>1271.8518750000005</v>
      </c>
      <c r="H18" s="185">
        <f>'10.Grain Production details'!H49</f>
        <v>1356.6420000000007</v>
      </c>
    </row>
    <row r="19" spans="1:8" x14ac:dyDescent="0.35">
      <c r="A19" s="185">
        <f>'10.Grain Production details'!A50</f>
        <v>0</v>
      </c>
      <c r="B19" s="185">
        <f>'10.Grain Production details'!B50</f>
        <v>0</v>
      </c>
      <c r="C19" s="185">
        <f>'10.Grain Production details'!C50</f>
        <v>0</v>
      </c>
      <c r="D19" s="185">
        <f>'10.Grain Production details'!D50</f>
        <v>0</v>
      </c>
      <c r="E19" s="185">
        <f>'10.Grain Production details'!E50</f>
        <v>0</v>
      </c>
      <c r="F19" s="185">
        <f>'10.Grain Production details'!F50</f>
        <v>0</v>
      </c>
      <c r="G19" s="185">
        <f>'10.Grain Production details'!G50</f>
        <v>0</v>
      </c>
      <c r="H19" s="185">
        <f>'10.Grain Production details'!H50</f>
        <v>0</v>
      </c>
    </row>
    <row r="20" spans="1:8" x14ac:dyDescent="0.35">
      <c r="A20" s="185" t="str">
        <f>'10.Grain Production details'!A51</f>
        <v>Wheat</v>
      </c>
      <c r="B20" s="185">
        <f>'10.Grain Production details'!B51</f>
        <v>1708.29</v>
      </c>
      <c r="C20" s="185">
        <f>'10.Grain Production details'!C51</f>
        <v>1879.1190000000001</v>
      </c>
      <c r="D20" s="185">
        <f>'10.Grain Production details'!D51</f>
        <v>2049.9480000000003</v>
      </c>
      <c r="E20" s="185">
        <f>'10.Grain Production details'!E51</f>
        <v>2220.7770000000005</v>
      </c>
      <c r="F20" s="185">
        <f>'10.Grain Production details'!F51</f>
        <v>2391.6060000000007</v>
      </c>
      <c r="G20" s="185">
        <f>'10.Grain Production details'!G51</f>
        <v>2562.4350000000009</v>
      </c>
      <c r="H20" s="185">
        <f>'10.Grain Production details'!H51</f>
        <v>2733.264000000001</v>
      </c>
    </row>
    <row r="21" spans="1:8" x14ac:dyDescent="0.35">
      <c r="A21" s="185" t="str">
        <f>'10.Grain Production details'!A52</f>
        <v>Channa</v>
      </c>
      <c r="B21" s="185">
        <f>'10.Grain Production details'!B52</f>
        <v>5979.0150000000003</v>
      </c>
      <c r="C21" s="185">
        <f>'10.Grain Production details'!C52</f>
        <v>6576.9165000000012</v>
      </c>
      <c r="D21" s="185">
        <f>'10.Grain Production details'!D52</f>
        <v>7174.8180000000011</v>
      </c>
      <c r="E21" s="185">
        <f>'10.Grain Production details'!E52</f>
        <v>7772.719500000002</v>
      </c>
      <c r="F21" s="185">
        <f>'10.Grain Production details'!F52</f>
        <v>8370.6210000000028</v>
      </c>
      <c r="G21" s="185">
        <f>'10.Grain Production details'!G52</f>
        <v>8968.5225000000028</v>
      </c>
      <c r="H21" s="185">
        <f>'10.Grain Production details'!H52</f>
        <v>9566.4240000000045</v>
      </c>
    </row>
    <row r="22" spans="1:8" x14ac:dyDescent="0.35">
      <c r="A22" s="185" t="str">
        <f>'10.Grain Production details'!A53</f>
        <v>Jawar</v>
      </c>
      <c r="B22" s="185">
        <f>'10.Grain Production details'!B53</f>
        <v>1017.4815000000001</v>
      </c>
      <c r="C22" s="185">
        <f>'10.Grain Production details'!C53</f>
        <v>1119.2296500000002</v>
      </c>
      <c r="D22" s="185">
        <f>'10.Grain Production details'!D53</f>
        <v>1220.9778000000003</v>
      </c>
      <c r="E22" s="185">
        <f>'10.Grain Production details'!E53</f>
        <v>1322.7259500000005</v>
      </c>
      <c r="F22" s="185">
        <f>'10.Grain Production details'!F53</f>
        <v>1424.4741000000006</v>
      </c>
      <c r="G22" s="185">
        <f>'10.Grain Production details'!G53</f>
        <v>1526.2222500000007</v>
      </c>
      <c r="H22" s="185">
        <f>'10.Grain Production details'!H53</f>
        <v>1627.9704000000008</v>
      </c>
    </row>
    <row r="23" spans="1:8" hidden="1" x14ac:dyDescent="0.35">
      <c r="A23" s="185" t="str">
        <f>'10.Grain Production details'!A54</f>
        <v>Maize</v>
      </c>
      <c r="B23" s="185">
        <f>'10.Grain Production details'!B54</f>
        <v>0</v>
      </c>
      <c r="C23" s="185">
        <f>'10.Grain Production details'!C54</f>
        <v>0</v>
      </c>
      <c r="D23" s="185">
        <f>'10.Grain Production details'!D54</f>
        <v>0</v>
      </c>
      <c r="E23" s="185">
        <f>'10.Grain Production details'!E54</f>
        <v>0</v>
      </c>
      <c r="F23" s="185">
        <f>'10.Grain Production details'!F54</f>
        <v>0</v>
      </c>
      <c r="G23" s="185">
        <f>'10.Grain Production details'!G54</f>
        <v>0</v>
      </c>
      <c r="H23" s="185">
        <f>'10.Grain Production details'!H54</f>
        <v>0</v>
      </c>
    </row>
    <row r="24" spans="1:8" hidden="1" x14ac:dyDescent="0.35">
      <c r="A24" s="185" t="str">
        <f>'10.Grain Production details'!A55</f>
        <v>Safflower</v>
      </c>
      <c r="B24" s="185">
        <f>'10.Grain Production details'!B55</f>
        <v>0</v>
      </c>
      <c r="C24" s="185">
        <f>'10.Grain Production details'!C55</f>
        <v>0</v>
      </c>
      <c r="D24" s="185">
        <f>'10.Grain Production details'!D55</f>
        <v>0</v>
      </c>
      <c r="E24" s="185">
        <f>'10.Grain Production details'!E55</f>
        <v>0</v>
      </c>
      <c r="F24" s="185">
        <f>'10.Grain Production details'!F55</f>
        <v>0</v>
      </c>
      <c r="G24" s="185">
        <f>'10.Grain Production details'!G55</f>
        <v>0</v>
      </c>
      <c r="H24" s="185">
        <f>'10.Grain Production details'!H55</f>
        <v>0</v>
      </c>
    </row>
    <row r="25" spans="1:8" hidden="1" x14ac:dyDescent="0.35">
      <c r="A25" s="185" t="str">
        <f>'10.Grain Production details'!A56</f>
        <v>Groundnut</v>
      </c>
      <c r="B25" s="185">
        <f>'10.Grain Production details'!B56</f>
        <v>0</v>
      </c>
      <c r="C25" s="185">
        <f>'10.Grain Production details'!C56</f>
        <v>0</v>
      </c>
      <c r="D25" s="185">
        <f>'10.Grain Production details'!D56</f>
        <v>0</v>
      </c>
      <c r="E25" s="185">
        <f>'10.Grain Production details'!E56</f>
        <v>0</v>
      </c>
      <c r="F25" s="185">
        <f>'10.Grain Production details'!F56</f>
        <v>0</v>
      </c>
      <c r="G25" s="185">
        <f>'10.Grain Production details'!G56</f>
        <v>0</v>
      </c>
      <c r="H25" s="185">
        <f>'10.Grain Production details'!H56</f>
        <v>0</v>
      </c>
    </row>
    <row r="26" spans="1:8" hidden="1" x14ac:dyDescent="0.35">
      <c r="A26" s="185">
        <f>'10.Grain Production details'!A57</f>
        <v>0</v>
      </c>
      <c r="B26" s="185">
        <f>'10.Grain Production details'!B57</f>
        <v>0</v>
      </c>
      <c r="C26" s="185">
        <f>'10.Grain Production details'!C57</f>
        <v>0</v>
      </c>
      <c r="D26" s="185">
        <f>'10.Grain Production details'!D57</f>
        <v>0</v>
      </c>
      <c r="E26" s="185">
        <f>'10.Grain Production details'!E57</f>
        <v>0</v>
      </c>
      <c r="F26" s="185">
        <f>'10.Grain Production details'!F57</f>
        <v>0</v>
      </c>
      <c r="G26" s="185">
        <f>'10.Grain Production details'!G57</f>
        <v>0</v>
      </c>
      <c r="H26" s="185">
        <f>'10.Grain Production details'!H57</f>
        <v>0</v>
      </c>
    </row>
    <row r="27" spans="1:8" hidden="1" x14ac:dyDescent="0.35">
      <c r="A27" s="185">
        <f>'10.Grain Production details'!A58</f>
        <v>0</v>
      </c>
      <c r="B27" s="185">
        <f>'10.Grain Production details'!B58</f>
        <v>0</v>
      </c>
      <c r="C27" s="185">
        <f>'10.Grain Production details'!C58</f>
        <v>0</v>
      </c>
      <c r="D27" s="185">
        <f>'10.Grain Production details'!D58</f>
        <v>0</v>
      </c>
      <c r="E27" s="185">
        <f>'10.Grain Production details'!E58</f>
        <v>0</v>
      </c>
      <c r="F27" s="185">
        <f>'10.Grain Production details'!F58</f>
        <v>0</v>
      </c>
      <c r="G27" s="185">
        <f>'10.Grain Production details'!G58</f>
        <v>0</v>
      </c>
      <c r="H27" s="185">
        <f>'10.Grain Production details'!H58</f>
        <v>0</v>
      </c>
    </row>
    <row r="28" spans="1:8" hidden="1" x14ac:dyDescent="0.35">
      <c r="A28" s="185" t="str">
        <f>'10.Grain Production details'!A59</f>
        <v>Soybean</v>
      </c>
      <c r="B28" s="185">
        <f>'10.Grain Production details'!B59</f>
        <v>0</v>
      </c>
      <c r="C28" s="185">
        <f>'10.Grain Production details'!C59</f>
        <v>0</v>
      </c>
      <c r="D28" s="185">
        <f>'10.Grain Production details'!D59</f>
        <v>0</v>
      </c>
      <c r="E28" s="185">
        <f>'10.Grain Production details'!E59</f>
        <v>0</v>
      </c>
      <c r="F28" s="185">
        <f>'10.Grain Production details'!F59</f>
        <v>0</v>
      </c>
      <c r="G28" s="185">
        <f>'10.Grain Production details'!G59</f>
        <v>0</v>
      </c>
      <c r="H28" s="185">
        <f>'10.Grain Production details'!H59</f>
        <v>0</v>
      </c>
    </row>
    <row r="29" spans="1:8" hidden="1" x14ac:dyDescent="0.35">
      <c r="A29" s="185">
        <f>'10.Grain Production details'!A60</f>
        <v>0</v>
      </c>
      <c r="B29" s="185">
        <f>'10.Grain Production details'!B60</f>
        <v>0</v>
      </c>
      <c r="C29" s="185">
        <f>'10.Grain Production details'!C60</f>
        <v>0</v>
      </c>
      <c r="D29" s="185">
        <f>'10.Grain Production details'!D60</f>
        <v>0</v>
      </c>
      <c r="E29" s="185">
        <f>'10.Grain Production details'!E60</f>
        <v>0</v>
      </c>
      <c r="F29" s="185">
        <f>'10.Grain Production details'!F60</f>
        <v>0</v>
      </c>
      <c r="G29" s="185">
        <f>'10.Grain Production details'!G60</f>
        <v>0</v>
      </c>
      <c r="H29" s="185">
        <f>'10.Grain Production details'!H60</f>
        <v>0</v>
      </c>
    </row>
    <row r="30" spans="1:8" hidden="1" x14ac:dyDescent="0.35">
      <c r="A30" s="185">
        <f>'10.Grain Production details'!A61</f>
        <v>0</v>
      </c>
      <c r="B30" s="185">
        <f>'10.Grain Production details'!B61</f>
        <v>0</v>
      </c>
      <c r="C30" s="185">
        <f>'10.Grain Production details'!C61</f>
        <v>0</v>
      </c>
      <c r="D30" s="185">
        <f>'10.Grain Production details'!D61</f>
        <v>0</v>
      </c>
      <c r="E30" s="185">
        <f>'10.Grain Production details'!E61</f>
        <v>0</v>
      </c>
      <c r="F30" s="185">
        <f>'10.Grain Production details'!F61</f>
        <v>0</v>
      </c>
      <c r="G30" s="185">
        <f>'10.Grain Production details'!G61</f>
        <v>0</v>
      </c>
      <c r="H30" s="185">
        <f>'10.Grain Production details'!H61</f>
        <v>0</v>
      </c>
    </row>
    <row r="31" spans="1:8" hidden="1" x14ac:dyDescent="0.35">
      <c r="A31" s="185">
        <f>'10.Grain Production details'!A62</f>
        <v>0</v>
      </c>
      <c r="B31" s="185">
        <f>'10.Grain Production details'!B62</f>
        <v>0</v>
      </c>
      <c r="C31" s="185">
        <f>'10.Grain Production details'!C62</f>
        <v>0</v>
      </c>
      <c r="D31" s="185">
        <f>'10.Grain Production details'!D62</f>
        <v>0</v>
      </c>
      <c r="E31" s="185">
        <f>'10.Grain Production details'!E62</f>
        <v>0</v>
      </c>
      <c r="F31" s="185">
        <f>'10.Grain Production details'!F62</f>
        <v>0</v>
      </c>
      <c r="G31" s="185">
        <f>'10.Grain Production details'!G62</f>
        <v>0</v>
      </c>
      <c r="H31" s="185">
        <f>'10.Grain Production details'!H62</f>
        <v>0</v>
      </c>
    </row>
    <row r="32" spans="1:8" hidden="1" x14ac:dyDescent="0.35">
      <c r="A32" s="185">
        <f>'10.Grain Production details'!B63</f>
        <v>0</v>
      </c>
      <c r="B32" s="185">
        <f>'10.Grain Production details'!C63</f>
        <v>0</v>
      </c>
      <c r="C32" s="185">
        <f>'10.Grain Production details'!D63</f>
        <v>0</v>
      </c>
      <c r="D32" s="185">
        <f>'10.Grain Production details'!E63</f>
        <v>0</v>
      </c>
      <c r="E32" s="185">
        <f>'10.Grain Production details'!F63</f>
        <v>0</v>
      </c>
      <c r="F32" s="185">
        <f>'10.Grain Production details'!G63</f>
        <v>0</v>
      </c>
      <c r="G32" s="185">
        <f>'10.Grain Production details'!H63</f>
        <v>0</v>
      </c>
      <c r="H32" s="185">
        <f>'10.Grain Production details'!I63</f>
        <v>0</v>
      </c>
    </row>
    <row r="33" spans="1:8" x14ac:dyDescent="0.35">
      <c r="A33" s="116" t="s">
        <v>510</v>
      </c>
      <c r="B33" s="185">
        <f t="shared" ref="B33:H33" si="1">SUM(B11:B32)</f>
        <v>25925.049000000003</v>
      </c>
      <c r="C33" s="185">
        <f t="shared" si="1"/>
        <v>28517.553900000006</v>
      </c>
      <c r="D33" s="185">
        <f t="shared" si="1"/>
        <v>31110.058800000006</v>
      </c>
      <c r="E33" s="185">
        <f t="shared" si="1"/>
        <v>33702.563700000013</v>
      </c>
      <c r="F33" s="185">
        <f t="shared" si="1"/>
        <v>36295.068600000006</v>
      </c>
      <c r="G33" s="185">
        <f t="shared" si="1"/>
        <v>38887.573500000013</v>
      </c>
      <c r="H33" s="185">
        <f t="shared" si="1"/>
        <v>41480.078400000013</v>
      </c>
    </row>
    <row r="34" spans="1:8" hidden="1" x14ac:dyDescent="0.35">
      <c r="A34" s="185" t="str">
        <f>'11.F&amp;V Crop Production details'!A1:H1</f>
        <v>Fruit  &amp; Vegetables Crop Production Details</v>
      </c>
      <c r="B34" s="185"/>
      <c r="C34" s="185"/>
      <c r="D34" s="185"/>
      <c r="E34" s="185"/>
      <c r="F34" s="185"/>
      <c r="G34" s="185"/>
      <c r="H34" s="185"/>
    </row>
    <row r="35" spans="1:8" hidden="1" x14ac:dyDescent="0.35">
      <c r="A35" s="185" t="str">
        <f>'11.F&amp;V Crop Production details'!A46</f>
        <v>Onion</v>
      </c>
      <c r="B35" s="185">
        <f>'11.F&amp;V Crop Production details'!B46</f>
        <v>0</v>
      </c>
      <c r="C35" s="185">
        <f>'11.F&amp;V Crop Production details'!C46</f>
        <v>0</v>
      </c>
      <c r="D35" s="185">
        <f>'11.F&amp;V Crop Production details'!D46</f>
        <v>0</v>
      </c>
      <c r="E35" s="185">
        <f>'11.F&amp;V Crop Production details'!E46</f>
        <v>0</v>
      </c>
      <c r="F35" s="185">
        <f>'11.F&amp;V Crop Production details'!F46</f>
        <v>0</v>
      </c>
      <c r="G35" s="185">
        <f>'11.F&amp;V Crop Production details'!G46</f>
        <v>0</v>
      </c>
      <c r="H35" s="185">
        <f>'11.F&amp;V Crop Production details'!H46</f>
        <v>0</v>
      </c>
    </row>
    <row r="36" spans="1:8" hidden="1" x14ac:dyDescent="0.35">
      <c r="A36" s="185" t="str">
        <f>'11.F&amp;V Crop Production details'!A47</f>
        <v>Tomato</v>
      </c>
      <c r="B36" s="185">
        <f>'11.F&amp;V Crop Production details'!B47</f>
        <v>0</v>
      </c>
      <c r="C36" s="185">
        <f>'11.F&amp;V Crop Production details'!C47</f>
        <v>0</v>
      </c>
      <c r="D36" s="185">
        <f>'11.F&amp;V Crop Production details'!D47</f>
        <v>0</v>
      </c>
      <c r="E36" s="185">
        <f>'11.F&amp;V Crop Production details'!E47</f>
        <v>0</v>
      </c>
      <c r="F36" s="185">
        <f>'11.F&amp;V Crop Production details'!F47</f>
        <v>0</v>
      </c>
      <c r="G36" s="185">
        <f>'11.F&amp;V Crop Production details'!G47</f>
        <v>0</v>
      </c>
      <c r="H36" s="185">
        <f>'11.F&amp;V Crop Production details'!H47</f>
        <v>0</v>
      </c>
    </row>
    <row r="37" spans="1:8" hidden="1" x14ac:dyDescent="0.35">
      <c r="A37" s="185" t="str">
        <f>'11.F&amp;V Crop Production details'!A48</f>
        <v>Okra</v>
      </c>
      <c r="B37" s="185">
        <f>'11.F&amp;V Crop Production details'!B48</f>
        <v>0</v>
      </c>
      <c r="C37" s="185">
        <f>'11.F&amp;V Crop Production details'!C48</f>
        <v>0</v>
      </c>
      <c r="D37" s="185">
        <f>'11.F&amp;V Crop Production details'!D48</f>
        <v>0</v>
      </c>
      <c r="E37" s="185">
        <f>'11.F&amp;V Crop Production details'!E48</f>
        <v>0</v>
      </c>
      <c r="F37" s="185">
        <f>'11.F&amp;V Crop Production details'!F48</f>
        <v>0</v>
      </c>
      <c r="G37" s="185">
        <f>'11.F&amp;V Crop Production details'!G48</f>
        <v>0</v>
      </c>
      <c r="H37" s="185">
        <f>'11.F&amp;V Crop Production details'!H48</f>
        <v>0</v>
      </c>
    </row>
    <row r="38" spans="1:8" hidden="1" x14ac:dyDescent="0.35">
      <c r="A38" s="185" t="str">
        <f>'11.F&amp;V Crop Production details'!A49</f>
        <v>Chilli</v>
      </c>
      <c r="B38" s="185">
        <f>'11.F&amp;V Crop Production details'!B49</f>
        <v>0</v>
      </c>
      <c r="C38" s="185">
        <f>'11.F&amp;V Crop Production details'!C49</f>
        <v>0</v>
      </c>
      <c r="D38" s="185">
        <f>'11.F&amp;V Crop Production details'!D49</f>
        <v>0</v>
      </c>
      <c r="E38" s="185">
        <f>'11.F&amp;V Crop Production details'!E49</f>
        <v>0</v>
      </c>
      <c r="F38" s="185">
        <f>'11.F&amp;V Crop Production details'!F49</f>
        <v>0</v>
      </c>
      <c r="G38" s="185">
        <f>'11.F&amp;V Crop Production details'!G49</f>
        <v>0</v>
      </c>
      <c r="H38" s="185">
        <f>'11.F&amp;V Crop Production details'!H49</f>
        <v>0</v>
      </c>
    </row>
    <row r="39" spans="1:8" hidden="1" x14ac:dyDescent="0.35">
      <c r="A39" s="185" t="str">
        <f>'11.F&amp;V Crop Production details'!A50</f>
        <v>Potato</v>
      </c>
      <c r="B39" s="185">
        <f>'11.F&amp;V Crop Production details'!B50</f>
        <v>0</v>
      </c>
      <c r="C39" s="185">
        <f>'11.F&amp;V Crop Production details'!C50</f>
        <v>0</v>
      </c>
      <c r="D39" s="185">
        <f>'11.F&amp;V Crop Production details'!D50</f>
        <v>0</v>
      </c>
      <c r="E39" s="185">
        <f>'11.F&amp;V Crop Production details'!E50</f>
        <v>0</v>
      </c>
      <c r="F39" s="185">
        <f>'11.F&amp;V Crop Production details'!F50</f>
        <v>0</v>
      </c>
      <c r="G39" s="185">
        <f>'11.F&amp;V Crop Production details'!G50</f>
        <v>0</v>
      </c>
      <c r="H39" s="185">
        <f>'11.F&amp;V Crop Production details'!H50</f>
        <v>0</v>
      </c>
    </row>
    <row r="40" spans="1:8" hidden="1" x14ac:dyDescent="0.35">
      <c r="A40" s="185">
        <f>'11.F&amp;V Crop Production details'!A51</f>
        <v>0</v>
      </c>
      <c r="B40" s="185">
        <f>'11.F&amp;V Crop Production details'!B51</f>
        <v>0</v>
      </c>
      <c r="C40" s="185">
        <f>'11.F&amp;V Crop Production details'!C51</f>
        <v>0</v>
      </c>
      <c r="D40" s="185">
        <f>'11.F&amp;V Crop Production details'!D51</f>
        <v>0</v>
      </c>
      <c r="E40" s="185">
        <f>'11.F&amp;V Crop Production details'!E51</f>
        <v>0</v>
      </c>
      <c r="F40" s="185">
        <f>'11.F&amp;V Crop Production details'!F51</f>
        <v>0</v>
      </c>
      <c r="G40" s="185">
        <f>'11.F&amp;V Crop Production details'!G51</f>
        <v>0</v>
      </c>
      <c r="H40" s="185">
        <f>'11.F&amp;V Crop Production details'!H51</f>
        <v>0</v>
      </c>
    </row>
    <row r="41" spans="1:8" hidden="1" x14ac:dyDescent="0.35">
      <c r="A41" s="185">
        <f>'11.F&amp;V Crop Production details'!A52</f>
        <v>0</v>
      </c>
      <c r="B41" s="185">
        <f>'11.F&amp;V Crop Production details'!B52</f>
        <v>0</v>
      </c>
      <c r="C41" s="185">
        <f>'11.F&amp;V Crop Production details'!C52</f>
        <v>0</v>
      </c>
      <c r="D41" s="185">
        <f>'11.F&amp;V Crop Production details'!D52</f>
        <v>0</v>
      </c>
      <c r="E41" s="185">
        <f>'11.F&amp;V Crop Production details'!E52</f>
        <v>0</v>
      </c>
      <c r="F41" s="185">
        <f>'11.F&amp;V Crop Production details'!F52</f>
        <v>0</v>
      </c>
      <c r="G41" s="185">
        <f>'11.F&amp;V Crop Production details'!G52</f>
        <v>0</v>
      </c>
      <c r="H41" s="185">
        <f>'11.F&amp;V Crop Production details'!H52</f>
        <v>0</v>
      </c>
    </row>
    <row r="42" spans="1:8" hidden="1" x14ac:dyDescent="0.35">
      <c r="A42" s="185">
        <f>'11.F&amp;V Crop Production details'!A53</f>
        <v>0</v>
      </c>
      <c r="B42" s="185">
        <f>'11.F&amp;V Crop Production details'!B53</f>
        <v>0</v>
      </c>
      <c r="C42" s="185">
        <f>'11.F&amp;V Crop Production details'!C53</f>
        <v>0</v>
      </c>
      <c r="D42" s="185">
        <f>'11.F&amp;V Crop Production details'!D53</f>
        <v>0</v>
      </c>
      <c r="E42" s="185">
        <f>'11.F&amp;V Crop Production details'!E53</f>
        <v>0</v>
      </c>
      <c r="F42" s="185">
        <f>'11.F&amp;V Crop Production details'!F53</f>
        <v>0</v>
      </c>
      <c r="G42" s="185">
        <f>'11.F&amp;V Crop Production details'!G53</f>
        <v>0</v>
      </c>
      <c r="H42" s="185">
        <f>'11.F&amp;V Crop Production details'!H53</f>
        <v>0</v>
      </c>
    </row>
    <row r="43" spans="1:8" hidden="1" x14ac:dyDescent="0.35">
      <c r="A43" s="185">
        <f>'11.F&amp;V Crop Production details'!A54</f>
        <v>0</v>
      </c>
      <c r="B43" s="185">
        <f>'11.F&amp;V Crop Production details'!B54</f>
        <v>0</v>
      </c>
      <c r="C43" s="185">
        <f>'11.F&amp;V Crop Production details'!C54</f>
        <v>0</v>
      </c>
      <c r="D43" s="185">
        <f>'11.F&amp;V Crop Production details'!D54</f>
        <v>0</v>
      </c>
      <c r="E43" s="185">
        <f>'11.F&amp;V Crop Production details'!E54</f>
        <v>0</v>
      </c>
      <c r="F43" s="185">
        <f>'11.F&amp;V Crop Production details'!F54</f>
        <v>0</v>
      </c>
      <c r="G43" s="185">
        <f>'11.F&amp;V Crop Production details'!G54</f>
        <v>0</v>
      </c>
      <c r="H43" s="185">
        <f>'11.F&amp;V Crop Production details'!H54</f>
        <v>0</v>
      </c>
    </row>
    <row r="44" spans="1:8" hidden="1" x14ac:dyDescent="0.35">
      <c r="A44" s="185" t="str">
        <f>'11.F&amp;V Crop Production details'!A55</f>
        <v>Onion</v>
      </c>
      <c r="B44" s="185">
        <f>'11.F&amp;V Crop Production details'!B55</f>
        <v>0</v>
      </c>
      <c r="C44" s="185">
        <f>'11.F&amp;V Crop Production details'!C55</f>
        <v>0</v>
      </c>
      <c r="D44" s="185">
        <f>'11.F&amp;V Crop Production details'!D55</f>
        <v>0</v>
      </c>
      <c r="E44" s="185">
        <f>'11.F&amp;V Crop Production details'!E55</f>
        <v>0</v>
      </c>
      <c r="F44" s="185">
        <f>'11.F&amp;V Crop Production details'!F55</f>
        <v>0</v>
      </c>
      <c r="G44" s="185">
        <f>'11.F&amp;V Crop Production details'!G55</f>
        <v>0</v>
      </c>
      <c r="H44" s="185">
        <f>'11.F&amp;V Crop Production details'!H55</f>
        <v>0</v>
      </c>
    </row>
    <row r="45" spans="1:8" hidden="1" x14ac:dyDescent="0.35">
      <c r="A45" s="185" t="str">
        <f>'11.F&amp;V Crop Production details'!A56</f>
        <v>Tomato</v>
      </c>
      <c r="B45" s="185">
        <f>'11.F&amp;V Crop Production details'!B56</f>
        <v>0</v>
      </c>
      <c r="C45" s="185">
        <f>'11.F&amp;V Crop Production details'!C56</f>
        <v>0</v>
      </c>
      <c r="D45" s="185">
        <f>'11.F&amp;V Crop Production details'!D56</f>
        <v>0</v>
      </c>
      <c r="E45" s="185">
        <f>'11.F&amp;V Crop Production details'!E56</f>
        <v>0</v>
      </c>
      <c r="F45" s="185">
        <f>'11.F&amp;V Crop Production details'!F56</f>
        <v>0</v>
      </c>
      <c r="G45" s="185">
        <f>'11.F&amp;V Crop Production details'!G56</f>
        <v>0</v>
      </c>
      <c r="H45" s="185">
        <f>'11.F&amp;V Crop Production details'!H56</f>
        <v>0</v>
      </c>
    </row>
    <row r="46" spans="1:8" hidden="1" x14ac:dyDescent="0.35">
      <c r="A46" s="185" t="str">
        <f>'11.F&amp;V Crop Production details'!A57</f>
        <v>Okra</v>
      </c>
      <c r="B46" s="185">
        <f>'11.F&amp;V Crop Production details'!B57</f>
        <v>0</v>
      </c>
      <c r="C46" s="185">
        <f>'11.F&amp;V Crop Production details'!C57</f>
        <v>0</v>
      </c>
      <c r="D46" s="185">
        <f>'11.F&amp;V Crop Production details'!D57</f>
        <v>0</v>
      </c>
      <c r="E46" s="185">
        <f>'11.F&amp;V Crop Production details'!E57</f>
        <v>0</v>
      </c>
      <c r="F46" s="185">
        <f>'11.F&amp;V Crop Production details'!F57</f>
        <v>0</v>
      </c>
      <c r="G46" s="185">
        <f>'11.F&amp;V Crop Production details'!G57</f>
        <v>0</v>
      </c>
      <c r="H46" s="185">
        <f>'11.F&amp;V Crop Production details'!H57</f>
        <v>0</v>
      </c>
    </row>
    <row r="47" spans="1:8" hidden="1" x14ac:dyDescent="0.35">
      <c r="A47" s="185" t="str">
        <f>'11.F&amp;V Crop Production details'!A58</f>
        <v>Chilli</v>
      </c>
      <c r="B47" s="185">
        <f>'11.F&amp;V Crop Production details'!B58</f>
        <v>0</v>
      </c>
      <c r="C47" s="185">
        <f>'11.F&amp;V Crop Production details'!C58</f>
        <v>0</v>
      </c>
      <c r="D47" s="185">
        <f>'11.F&amp;V Crop Production details'!D58</f>
        <v>0</v>
      </c>
      <c r="E47" s="185">
        <f>'11.F&amp;V Crop Production details'!E58</f>
        <v>0</v>
      </c>
      <c r="F47" s="185">
        <f>'11.F&amp;V Crop Production details'!F58</f>
        <v>0</v>
      </c>
      <c r="G47" s="185">
        <f>'11.F&amp;V Crop Production details'!G58</f>
        <v>0</v>
      </c>
      <c r="H47" s="185">
        <f>'11.F&amp;V Crop Production details'!H58</f>
        <v>0</v>
      </c>
    </row>
    <row r="48" spans="1:8" hidden="1" x14ac:dyDescent="0.35">
      <c r="A48" s="185" t="str">
        <f>'11.F&amp;V Crop Production details'!A59</f>
        <v>Brinjal</v>
      </c>
      <c r="B48" s="185">
        <f>'11.F&amp;V Crop Production details'!B59</f>
        <v>0</v>
      </c>
      <c r="C48" s="185">
        <f>'11.F&amp;V Crop Production details'!C59</f>
        <v>0</v>
      </c>
      <c r="D48" s="185">
        <f>'11.F&amp;V Crop Production details'!D59</f>
        <v>0</v>
      </c>
      <c r="E48" s="185">
        <f>'11.F&amp;V Crop Production details'!E59</f>
        <v>0</v>
      </c>
      <c r="F48" s="185">
        <f>'11.F&amp;V Crop Production details'!F59</f>
        <v>0</v>
      </c>
      <c r="G48" s="185">
        <f>'11.F&amp;V Crop Production details'!G59</f>
        <v>0</v>
      </c>
      <c r="H48" s="185">
        <f>'11.F&amp;V Crop Production details'!H59</f>
        <v>0</v>
      </c>
    </row>
    <row r="49" spans="1:8" hidden="1" x14ac:dyDescent="0.35">
      <c r="A49" s="185">
        <f>'11.F&amp;V Crop Production details'!A60</f>
        <v>0</v>
      </c>
      <c r="B49" s="185">
        <f>'11.F&amp;V Crop Production details'!B60</f>
        <v>0</v>
      </c>
      <c r="C49" s="185">
        <f>'11.F&amp;V Crop Production details'!C60</f>
        <v>0</v>
      </c>
      <c r="D49" s="185">
        <f>'11.F&amp;V Crop Production details'!D60</f>
        <v>0</v>
      </c>
      <c r="E49" s="185">
        <f>'11.F&amp;V Crop Production details'!E60</f>
        <v>0</v>
      </c>
      <c r="F49" s="185">
        <f>'11.F&amp;V Crop Production details'!F60</f>
        <v>0</v>
      </c>
      <c r="G49" s="185">
        <f>'11.F&amp;V Crop Production details'!G60</f>
        <v>0</v>
      </c>
      <c r="H49" s="185">
        <f>'11.F&amp;V Crop Production details'!H60</f>
        <v>0</v>
      </c>
    </row>
    <row r="50" spans="1:8" hidden="1" x14ac:dyDescent="0.35">
      <c r="A50" s="185">
        <f>'11.F&amp;V Crop Production details'!A61</f>
        <v>0</v>
      </c>
      <c r="B50" s="185">
        <f>'11.F&amp;V Crop Production details'!B61</f>
        <v>0</v>
      </c>
      <c r="C50" s="185">
        <f>'11.F&amp;V Crop Production details'!C61</f>
        <v>0</v>
      </c>
      <c r="D50" s="185">
        <f>'11.F&amp;V Crop Production details'!D61</f>
        <v>0</v>
      </c>
      <c r="E50" s="185">
        <f>'11.F&amp;V Crop Production details'!E61</f>
        <v>0</v>
      </c>
      <c r="F50" s="185">
        <f>'11.F&amp;V Crop Production details'!F61</f>
        <v>0</v>
      </c>
      <c r="G50" s="185">
        <f>'11.F&amp;V Crop Production details'!G61</f>
        <v>0</v>
      </c>
      <c r="H50" s="185">
        <f>'11.F&amp;V Crop Production details'!H61</f>
        <v>0</v>
      </c>
    </row>
    <row r="51" spans="1:8" hidden="1" x14ac:dyDescent="0.35">
      <c r="A51" s="185">
        <f>'11.F&amp;V Crop Production details'!A62</f>
        <v>0</v>
      </c>
      <c r="B51" s="185">
        <f>'11.F&amp;V Crop Production details'!B62</f>
        <v>0</v>
      </c>
      <c r="C51" s="185">
        <f>'11.F&amp;V Crop Production details'!C62</f>
        <v>0</v>
      </c>
      <c r="D51" s="185">
        <f>'11.F&amp;V Crop Production details'!D62</f>
        <v>0</v>
      </c>
      <c r="E51" s="185">
        <f>'11.F&amp;V Crop Production details'!E62</f>
        <v>0</v>
      </c>
      <c r="F51" s="185">
        <f>'11.F&amp;V Crop Production details'!F62</f>
        <v>0</v>
      </c>
      <c r="G51" s="185">
        <f>'11.F&amp;V Crop Production details'!G62</f>
        <v>0</v>
      </c>
      <c r="H51" s="185">
        <f>'11.F&amp;V Crop Production details'!H62</f>
        <v>0</v>
      </c>
    </row>
    <row r="52" spans="1:8" hidden="1" x14ac:dyDescent="0.35">
      <c r="A52" s="185">
        <f>'11.F&amp;V Crop Production details'!A63</f>
        <v>0</v>
      </c>
      <c r="B52" s="185">
        <f>'11.F&amp;V Crop Production details'!B63</f>
        <v>0</v>
      </c>
      <c r="C52" s="185">
        <f>'11.F&amp;V Crop Production details'!C63</f>
        <v>0</v>
      </c>
      <c r="D52" s="185">
        <f>'11.F&amp;V Crop Production details'!D63</f>
        <v>0</v>
      </c>
      <c r="E52" s="185">
        <f>'11.F&amp;V Crop Production details'!E63</f>
        <v>0</v>
      </c>
      <c r="F52" s="185">
        <f>'11.F&amp;V Crop Production details'!F63</f>
        <v>0</v>
      </c>
      <c r="G52" s="185">
        <f>'11.F&amp;V Crop Production details'!G63</f>
        <v>0</v>
      </c>
      <c r="H52" s="185">
        <f>'11.F&amp;V Crop Production details'!H63</f>
        <v>0</v>
      </c>
    </row>
    <row r="53" spans="1:8" hidden="1" x14ac:dyDescent="0.35">
      <c r="A53" s="185">
        <f>'11.F&amp;V Crop Production details'!A64</f>
        <v>0</v>
      </c>
      <c r="B53" s="185"/>
      <c r="C53" s="185"/>
      <c r="D53" s="185"/>
      <c r="E53" s="185"/>
      <c r="F53" s="185"/>
      <c r="G53" s="185"/>
      <c r="H53" s="185"/>
    </row>
    <row r="54" spans="1:8" hidden="1" x14ac:dyDescent="0.35">
      <c r="A54" s="185">
        <f>'11.F&amp;V Crop Production details'!A65</f>
        <v>0</v>
      </c>
      <c r="B54" s="185"/>
      <c r="C54" s="185"/>
      <c r="D54" s="185"/>
      <c r="E54" s="185"/>
      <c r="F54" s="185"/>
      <c r="G54" s="185"/>
      <c r="H54" s="185"/>
    </row>
    <row r="55" spans="1:8" hidden="1" x14ac:dyDescent="0.35">
      <c r="A55" s="185">
        <f>'11.F&amp;V Crop Production details'!A66</f>
        <v>0</v>
      </c>
      <c r="B55" s="185"/>
      <c r="C55" s="185"/>
      <c r="D55" s="185"/>
      <c r="E55" s="185"/>
      <c r="F55" s="185"/>
      <c r="G55" s="185"/>
      <c r="H55" s="185"/>
    </row>
    <row r="56" spans="1:8" hidden="1" x14ac:dyDescent="0.35">
      <c r="A56" s="185" t="str">
        <f>'11.F&amp;V Crop Production details'!A67</f>
        <v>Pomegranate</v>
      </c>
      <c r="B56" s="185">
        <f>'11.F&amp;V Crop Production details'!B67</f>
        <v>0</v>
      </c>
      <c r="C56" s="185">
        <f>'11.F&amp;V Crop Production details'!C67</f>
        <v>0</v>
      </c>
      <c r="D56" s="185">
        <f>'11.F&amp;V Crop Production details'!D67</f>
        <v>0</v>
      </c>
      <c r="E56" s="185">
        <f>'11.F&amp;V Crop Production details'!E67</f>
        <v>0</v>
      </c>
      <c r="F56" s="185">
        <f>'11.F&amp;V Crop Production details'!F67</f>
        <v>0</v>
      </c>
      <c r="G56" s="185">
        <f>'11.F&amp;V Crop Production details'!G67</f>
        <v>0</v>
      </c>
      <c r="H56" s="185">
        <f>'11.F&amp;V Crop Production details'!H67</f>
        <v>0</v>
      </c>
    </row>
    <row r="57" spans="1:8" hidden="1" x14ac:dyDescent="0.35">
      <c r="A57" s="185" t="str">
        <f>'11.F&amp;V Crop Production details'!A68</f>
        <v>Custard Apple</v>
      </c>
      <c r="B57" s="185">
        <f>'11.F&amp;V Crop Production details'!B68</f>
        <v>0</v>
      </c>
      <c r="C57" s="185">
        <f>'11.F&amp;V Crop Production details'!C68</f>
        <v>0</v>
      </c>
      <c r="D57" s="185">
        <f>'11.F&amp;V Crop Production details'!D68</f>
        <v>0</v>
      </c>
      <c r="E57" s="185">
        <f>'11.F&amp;V Crop Production details'!E68</f>
        <v>0</v>
      </c>
      <c r="F57" s="185">
        <f>'11.F&amp;V Crop Production details'!F68</f>
        <v>0</v>
      </c>
      <c r="G57" s="185">
        <f>'11.F&amp;V Crop Production details'!G68</f>
        <v>0</v>
      </c>
      <c r="H57" s="185">
        <f>'11.F&amp;V Crop Production details'!H68</f>
        <v>0</v>
      </c>
    </row>
    <row r="58" spans="1:8" hidden="1" x14ac:dyDescent="0.35">
      <c r="A58" s="185" t="str">
        <f>'11.F&amp;V Crop Production details'!A69</f>
        <v>Guava</v>
      </c>
      <c r="B58" s="185">
        <f>'11.F&amp;V Crop Production details'!B69</f>
        <v>0</v>
      </c>
      <c r="C58" s="185">
        <f>'11.F&amp;V Crop Production details'!C69</f>
        <v>0</v>
      </c>
      <c r="D58" s="185">
        <f>'11.F&amp;V Crop Production details'!D69</f>
        <v>0</v>
      </c>
      <c r="E58" s="185">
        <f>'11.F&amp;V Crop Production details'!E69</f>
        <v>0</v>
      </c>
      <c r="F58" s="185">
        <f>'11.F&amp;V Crop Production details'!F69</f>
        <v>0</v>
      </c>
      <c r="G58" s="185">
        <f>'11.F&amp;V Crop Production details'!G69</f>
        <v>0</v>
      </c>
      <c r="H58" s="185">
        <f>'11.F&amp;V Crop Production details'!H69</f>
        <v>0</v>
      </c>
    </row>
    <row r="59" spans="1:8" hidden="1" x14ac:dyDescent="0.35">
      <c r="A59" s="185" t="str">
        <f>'11.F&amp;V Crop Production details'!A70</f>
        <v>Citrus</v>
      </c>
      <c r="B59" s="185">
        <f>'11.F&amp;V Crop Production details'!B70</f>
        <v>0</v>
      </c>
      <c r="C59" s="185">
        <f>'11.F&amp;V Crop Production details'!C70</f>
        <v>0</v>
      </c>
      <c r="D59" s="185">
        <f>'11.F&amp;V Crop Production details'!D70</f>
        <v>0</v>
      </c>
      <c r="E59" s="185">
        <f>'11.F&amp;V Crop Production details'!E70</f>
        <v>0</v>
      </c>
      <c r="F59" s="185">
        <f>'11.F&amp;V Crop Production details'!F70</f>
        <v>0</v>
      </c>
      <c r="G59" s="185">
        <f>'11.F&amp;V Crop Production details'!G70</f>
        <v>0</v>
      </c>
      <c r="H59" s="185">
        <f>'11.F&amp;V Crop Production details'!H70</f>
        <v>0</v>
      </c>
    </row>
    <row r="60" spans="1:8" x14ac:dyDescent="0.35">
      <c r="A60" s="185"/>
      <c r="B60" s="185"/>
      <c r="C60" s="185"/>
      <c r="D60" s="185"/>
      <c r="E60" s="185"/>
      <c r="F60" s="185"/>
      <c r="G60" s="185"/>
      <c r="H60" s="185"/>
    </row>
    <row r="61" spans="1:8" x14ac:dyDescent="0.35">
      <c r="A61" s="116" t="s">
        <v>509</v>
      </c>
      <c r="B61" s="185">
        <f t="shared" ref="B61:H61" si="2">SUM(B35:B59)</f>
        <v>0</v>
      </c>
      <c r="C61" s="185">
        <f t="shared" si="2"/>
        <v>0</v>
      </c>
      <c r="D61" s="185">
        <f t="shared" si="2"/>
        <v>0</v>
      </c>
      <c r="E61" s="185">
        <f t="shared" si="2"/>
        <v>0</v>
      </c>
      <c r="F61" s="185">
        <f t="shared" si="2"/>
        <v>0</v>
      </c>
      <c r="G61" s="185">
        <f t="shared" si="2"/>
        <v>0</v>
      </c>
      <c r="H61" s="185">
        <f t="shared" si="2"/>
        <v>0</v>
      </c>
    </row>
    <row r="62" spans="1:8" x14ac:dyDescent="0.35">
      <c r="A62" s="186" t="s">
        <v>511</v>
      </c>
      <c r="B62" s="187">
        <v>0.5</v>
      </c>
      <c r="C62" s="187">
        <f>B62</f>
        <v>0.5</v>
      </c>
      <c r="D62" s="187">
        <f t="shared" ref="D62:H62" si="3">C62</f>
        <v>0.5</v>
      </c>
      <c r="E62" s="187">
        <f t="shared" si="3"/>
        <v>0.5</v>
      </c>
      <c r="F62" s="187">
        <f t="shared" si="3"/>
        <v>0.5</v>
      </c>
      <c r="G62" s="187">
        <f t="shared" si="3"/>
        <v>0.5</v>
      </c>
      <c r="H62" s="187">
        <f t="shared" si="3"/>
        <v>0.5</v>
      </c>
    </row>
    <row r="63" spans="1:8" x14ac:dyDescent="0.35">
      <c r="A63" s="186" t="s">
        <v>512</v>
      </c>
      <c r="B63" s="187">
        <f t="shared" ref="B63:H63" si="4">1-B62</f>
        <v>0.5</v>
      </c>
      <c r="C63" s="187">
        <f t="shared" si="4"/>
        <v>0.5</v>
      </c>
      <c r="D63" s="187">
        <f t="shared" si="4"/>
        <v>0.5</v>
      </c>
      <c r="E63" s="187">
        <f t="shared" si="4"/>
        <v>0.5</v>
      </c>
      <c r="F63" s="187">
        <f t="shared" si="4"/>
        <v>0.5</v>
      </c>
      <c r="G63" s="187">
        <f t="shared" si="4"/>
        <v>0.5</v>
      </c>
      <c r="H63" s="187">
        <f t="shared" si="4"/>
        <v>0.5</v>
      </c>
    </row>
    <row r="64" spans="1:8" x14ac:dyDescent="0.35">
      <c r="A64" s="186"/>
      <c r="B64" s="187"/>
      <c r="C64" s="187"/>
      <c r="D64" s="187"/>
      <c r="E64" s="187"/>
      <c r="F64" s="187"/>
      <c r="G64" s="187"/>
      <c r="H64" s="187"/>
    </row>
    <row r="65" spans="1:8" x14ac:dyDescent="0.35">
      <c r="A65" s="186" t="s">
        <v>705</v>
      </c>
      <c r="B65" s="188">
        <f t="shared" ref="B65:H65" si="5">B33*B62</f>
        <v>12962.524500000001</v>
      </c>
      <c r="C65" s="188">
        <f t="shared" si="5"/>
        <v>14258.776950000003</v>
      </c>
      <c r="D65" s="188">
        <f t="shared" si="5"/>
        <v>15555.029400000003</v>
      </c>
      <c r="E65" s="188">
        <f t="shared" si="5"/>
        <v>16851.281850000007</v>
      </c>
      <c r="F65" s="188">
        <f t="shared" si="5"/>
        <v>18147.534300000003</v>
      </c>
      <c r="G65" s="188">
        <f t="shared" si="5"/>
        <v>19443.786750000007</v>
      </c>
      <c r="H65" s="188">
        <f t="shared" si="5"/>
        <v>20740.039200000007</v>
      </c>
    </row>
    <row r="66" spans="1:8" x14ac:dyDescent="0.35">
      <c r="A66" s="116"/>
      <c r="B66" s="185"/>
      <c r="C66" s="185"/>
      <c r="D66" s="185"/>
      <c r="E66" s="185"/>
      <c r="F66" s="185"/>
      <c r="G66" s="185"/>
      <c r="H66" s="185"/>
    </row>
    <row r="67" spans="1:8" x14ac:dyDescent="0.35">
      <c r="A67" s="116" t="s">
        <v>162</v>
      </c>
      <c r="B67" s="185"/>
      <c r="C67" s="185"/>
      <c r="D67" s="185"/>
      <c r="E67" s="185"/>
      <c r="F67" s="185"/>
      <c r="G67" s="185"/>
      <c r="H67" s="185"/>
    </row>
    <row r="68" spans="1:8" x14ac:dyDescent="0.35">
      <c r="A68" s="112" t="str">
        <f t="shared" ref="A68:A89" si="6">A11</f>
        <v>Soybean</v>
      </c>
      <c r="B68" s="189">
        <f t="shared" ref="B68:B89" si="7">B11*$B$63</f>
        <v>6490.3781250000002</v>
      </c>
      <c r="C68" s="189">
        <f t="shared" ref="C68:C83" si="8">C11*$C$63</f>
        <v>7139.4159375000008</v>
      </c>
      <c r="D68" s="189">
        <f t="shared" ref="D68:D83" si="9">D11*$D$63</f>
        <v>7788.4537500000015</v>
      </c>
      <c r="E68" s="189">
        <f t="shared" ref="E68:E83" si="10">E11*$E$63</f>
        <v>8437.4915625000012</v>
      </c>
      <c r="F68" s="189">
        <f t="shared" ref="F68:F83" si="11">F11*$F$63</f>
        <v>9086.5293750000019</v>
      </c>
      <c r="G68" s="189">
        <f t="shared" ref="G68:G83" si="12">G11*$G$63</f>
        <v>9735.5671875000025</v>
      </c>
      <c r="H68" s="189">
        <f t="shared" ref="H68:H83" si="13">H11*$H$63</f>
        <v>10384.605000000003</v>
      </c>
    </row>
    <row r="69" spans="1:8" x14ac:dyDescent="0.35">
      <c r="A69" s="112" t="str">
        <f t="shared" si="6"/>
        <v>Tur</v>
      </c>
      <c r="B69" s="189">
        <f t="shared" si="7"/>
        <v>830.41875000000005</v>
      </c>
      <c r="C69" s="189">
        <f t="shared" si="8"/>
        <v>913.46062500000016</v>
      </c>
      <c r="D69" s="189">
        <f t="shared" si="9"/>
        <v>996.50250000000017</v>
      </c>
      <c r="E69" s="189">
        <f t="shared" si="10"/>
        <v>1079.5443750000002</v>
      </c>
      <c r="F69" s="189">
        <f t="shared" si="11"/>
        <v>1162.5862500000003</v>
      </c>
      <c r="G69" s="189">
        <f t="shared" si="12"/>
        <v>1245.6281250000004</v>
      </c>
      <c r="H69" s="189">
        <f t="shared" si="13"/>
        <v>1328.6700000000005</v>
      </c>
    </row>
    <row r="70" spans="1:8" x14ac:dyDescent="0.35">
      <c r="A70" s="112" t="str">
        <f t="shared" si="6"/>
        <v>Turmeric</v>
      </c>
      <c r="B70" s="189">
        <f t="shared" si="7"/>
        <v>0</v>
      </c>
      <c r="C70" s="189">
        <f t="shared" si="8"/>
        <v>0</v>
      </c>
      <c r="D70" s="189">
        <f t="shared" si="9"/>
        <v>0</v>
      </c>
      <c r="E70" s="189">
        <f t="shared" si="10"/>
        <v>0</v>
      </c>
      <c r="F70" s="189">
        <f t="shared" si="11"/>
        <v>0</v>
      </c>
      <c r="G70" s="189">
        <f t="shared" si="12"/>
        <v>0</v>
      </c>
      <c r="H70" s="189">
        <f t="shared" si="13"/>
        <v>0</v>
      </c>
    </row>
    <row r="71" spans="1:8" x14ac:dyDescent="0.35">
      <c r="A71" s="112" t="str">
        <f t="shared" si="6"/>
        <v>Moong</v>
      </c>
      <c r="B71" s="189">
        <f t="shared" si="7"/>
        <v>432.69187499999998</v>
      </c>
      <c r="C71" s="189">
        <f t="shared" si="8"/>
        <v>475.96106250000003</v>
      </c>
      <c r="D71" s="189">
        <f t="shared" si="9"/>
        <v>519.23025000000007</v>
      </c>
      <c r="E71" s="189">
        <f t="shared" si="10"/>
        <v>562.49943750000011</v>
      </c>
      <c r="F71" s="189">
        <f t="shared" si="11"/>
        <v>605.76862500000016</v>
      </c>
      <c r="G71" s="189">
        <f t="shared" si="12"/>
        <v>649.0378125000002</v>
      </c>
      <c r="H71" s="189">
        <f t="shared" si="13"/>
        <v>692.30700000000024</v>
      </c>
    </row>
    <row r="72" spans="1:8" x14ac:dyDescent="0.35">
      <c r="A72" s="112" t="str">
        <f t="shared" si="6"/>
        <v>Maize</v>
      </c>
      <c r="B72" s="189">
        <f t="shared" si="7"/>
        <v>0</v>
      </c>
      <c r="C72" s="189">
        <f t="shared" si="8"/>
        <v>0</v>
      </c>
      <c r="D72" s="189">
        <f t="shared" si="9"/>
        <v>0</v>
      </c>
      <c r="E72" s="189">
        <f t="shared" si="10"/>
        <v>0</v>
      </c>
      <c r="F72" s="189">
        <f t="shared" si="11"/>
        <v>0</v>
      </c>
      <c r="G72" s="189">
        <f t="shared" si="12"/>
        <v>0</v>
      </c>
      <c r="H72" s="189">
        <f t="shared" si="13"/>
        <v>0</v>
      </c>
    </row>
    <row r="73" spans="1:8" x14ac:dyDescent="0.35">
      <c r="A73" s="112" t="str">
        <f t="shared" si="6"/>
        <v>Udid</v>
      </c>
      <c r="B73" s="189">
        <f t="shared" si="7"/>
        <v>432.69187499999998</v>
      </c>
      <c r="C73" s="189">
        <f t="shared" si="8"/>
        <v>475.96106250000003</v>
      </c>
      <c r="D73" s="189">
        <f t="shared" si="9"/>
        <v>519.23025000000007</v>
      </c>
      <c r="E73" s="189">
        <f t="shared" si="10"/>
        <v>562.49943750000011</v>
      </c>
      <c r="F73" s="189">
        <f t="shared" si="11"/>
        <v>605.76862500000016</v>
      </c>
      <c r="G73" s="189">
        <f t="shared" si="12"/>
        <v>649.0378125000002</v>
      </c>
      <c r="H73" s="189">
        <f t="shared" si="13"/>
        <v>692.30700000000024</v>
      </c>
    </row>
    <row r="74" spans="1:8" x14ac:dyDescent="0.35">
      <c r="A74" s="112" t="str">
        <f t="shared" si="6"/>
        <v>Bajra</v>
      </c>
      <c r="B74" s="189">
        <f t="shared" si="7"/>
        <v>0</v>
      </c>
      <c r="C74" s="189">
        <f t="shared" si="8"/>
        <v>0</v>
      </c>
      <c r="D74" s="189">
        <f t="shared" si="9"/>
        <v>0</v>
      </c>
      <c r="E74" s="189">
        <f t="shared" si="10"/>
        <v>0</v>
      </c>
      <c r="F74" s="189">
        <f t="shared" si="11"/>
        <v>0</v>
      </c>
      <c r="G74" s="189">
        <f t="shared" si="12"/>
        <v>0</v>
      </c>
      <c r="H74" s="189">
        <f t="shared" si="13"/>
        <v>0</v>
      </c>
    </row>
    <row r="75" spans="1:8" x14ac:dyDescent="0.35">
      <c r="A75" s="112" t="str">
        <f t="shared" si="6"/>
        <v>Jawar</v>
      </c>
      <c r="B75" s="189">
        <f t="shared" si="7"/>
        <v>423.950625</v>
      </c>
      <c r="C75" s="189">
        <f t="shared" si="8"/>
        <v>466.34568750000005</v>
      </c>
      <c r="D75" s="189">
        <f t="shared" si="9"/>
        <v>508.74075000000011</v>
      </c>
      <c r="E75" s="189">
        <f t="shared" si="10"/>
        <v>551.13581250000016</v>
      </c>
      <c r="F75" s="189">
        <f t="shared" si="11"/>
        <v>593.53087500000026</v>
      </c>
      <c r="G75" s="189">
        <f t="shared" si="12"/>
        <v>635.92593750000026</v>
      </c>
      <c r="H75" s="189">
        <f t="shared" si="13"/>
        <v>678.32100000000037</v>
      </c>
    </row>
    <row r="76" spans="1:8" x14ac:dyDescent="0.35">
      <c r="A76" s="112">
        <f t="shared" si="6"/>
        <v>0</v>
      </c>
      <c r="B76" s="189">
        <f t="shared" si="7"/>
        <v>0</v>
      </c>
      <c r="C76" s="189">
        <f t="shared" si="8"/>
        <v>0</v>
      </c>
      <c r="D76" s="189">
        <f t="shared" si="9"/>
        <v>0</v>
      </c>
      <c r="E76" s="189">
        <f t="shared" si="10"/>
        <v>0</v>
      </c>
      <c r="F76" s="189">
        <f t="shared" si="11"/>
        <v>0</v>
      </c>
      <c r="G76" s="189">
        <f t="shared" si="12"/>
        <v>0</v>
      </c>
      <c r="H76" s="189">
        <f t="shared" si="13"/>
        <v>0</v>
      </c>
    </row>
    <row r="77" spans="1:8" x14ac:dyDescent="0.35">
      <c r="A77" s="112" t="str">
        <f t="shared" si="6"/>
        <v>Wheat</v>
      </c>
      <c r="B77" s="189">
        <f t="shared" si="7"/>
        <v>854.14499999999998</v>
      </c>
      <c r="C77" s="189">
        <f t="shared" si="8"/>
        <v>939.55950000000007</v>
      </c>
      <c r="D77" s="189">
        <f t="shared" si="9"/>
        <v>1024.9740000000002</v>
      </c>
      <c r="E77" s="189">
        <f t="shared" si="10"/>
        <v>1110.3885000000002</v>
      </c>
      <c r="F77" s="189">
        <f t="shared" si="11"/>
        <v>1195.8030000000003</v>
      </c>
      <c r="G77" s="189">
        <f t="shared" si="12"/>
        <v>1281.2175000000004</v>
      </c>
      <c r="H77" s="189">
        <f t="shared" si="13"/>
        <v>1366.6320000000005</v>
      </c>
    </row>
    <row r="78" spans="1:8" x14ac:dyDescent="0.35">
      <c r="A78" s="112" t="str">
        <f t="shared" si="6"/>
        <v>Channa</v>
      </c>
      <c r="B78" s="189">
        <f t="shared" si="7"/>
        <v>2989.5075000000002</v>
      </c>
      <c r="C78" s="189">
        <f t="shared" si="8"/>
        <v>3288.4582500000006</v>
      </c>
      <c r="D78" s="189">
        <f t="shared" si="9"/>
        <v>3587.4090000000006</v>
      </c>
      <c r="E78" s="189">
        <f t="shared" si="10"/>
        <v>3886.359750000001</v>
      </c>
      <c r="F78" s="189">
        <f t="shared" si="11"/>
        <v>4185.3105000000014</v>
      </c>
      <c r="G78" s="189">
        <f t="shared" si="12"/>
        <v>4484.2612500000014</v>
      </c>
      <c r="H78" s="189">
        <f t="shared" si="13"/>
        <v>4783.2120000000023</v>
      </c>
    </row>
    <row r="79" spans="1:8" x14ac:dyDescent="0.35">
      <c r="A79" s="112" t="str">
        <f t="shared" si="6"/>
        <v>Jawar</v>
      </c>
      <c r="B79" s="189">
        <f t="shared" si="7"/>
        <v>508.74075000000005</v>
      </c>
      <c r="C79" s="189">
        <f t="shared" si="8"/>
        <v>559.61482500000011</v>
      </c>
      <c r="D79" s="189">
        <f t="shared" si="9"/>
        <v>610.48890000000017</v>
      </c>
      <c r="E79" s="189">
        <f t="shared" si="10"/>
        <v>661.36297500000023</v>
      </c>
      <c r="F79" s="189">
        <f t="shared" si="11"/>
        <v>712.23705000000029</v>
      </c>
      <c r="G79" s="189">
        <f t="shared" si="12"/>
        <v>763.11112500000036</v>
      </c>
      <c r="H79" s="189">
        <f t="shared" si="13"/>
        <v>813.98520000000042</v>
      </c>
    </row>
    <row r="80" spans="1:8" x14ac:dyDescent="0.35">
      <c r="A80" s="112" t="str">
        <f t="shared" si="6"/>
        <v>Maize</v>
      </c>
      <c r="B80" s="189">
        <f t="shared" si="7"/>
        <v>0</v>
      </c>
      <c r="C80" s="189">
        <f t="shared" si="8"/>
        <v>0</v>
      </c>
      <c r="D80" s="189">
        <f t="shared" si="9"/>
        <v>0</v>
      </c>
      <c r="E80" s="189">
        <f t="shared" si="10"/>
        <v>0</v>
      </c>
      <c r="F80" s="189">
        <f t="shared" si="11"/>
        <v>0</v>
      </c>
      <c r="G80" s="189">
        <f t="shared" si="12"/>
        <v>0</v>
      </c>
      <c r="H80" s="189">
        <f t="shared" si="13"/>
        <v>0</v>
      </c>
    </row>
    <row r="81" spans="1:12" hidden="1" x14ac:dyDescent="0.35">
      <c r="A81" s="112" t="str">
        <f t="shared" si="6"/>
        <v>Safflower</v>
      </c>
      <c r="B81" s="189">
        <f t="shared" si="7"/>
        <v>0</v>
      </c>
      <c r="C81" s="189">
        <f t="shared" si="8"/>
        <v>0</v>
      </c>
      <c r="D81" s="189">
        <f t="shared" si="9"/>
        <v>0</v>
      </c>
      <c r="E81" s="189">
        <f t="shared" si="10"/>
        <v>0</v>
      </c>
      <c r="F81" s="189">
        <f t="shared" si="11"/>
        <v>0</v>
      </c>
      <c r="G81" s="189">
        <f t="shared" si="12"/>
        <v>0</v>
      </c>
      <c r="H81" s="189">
        <f t="shared" si="13"/>
        <v>0</v>
      </c>
    </row>
    <row r="82" spans="1:12" hidden="1" x14ac:dyDescent="0.35">
      <c r="A82" s="112" t="str">
        <f t="shared" si="6"/>
        <v>Groundnut</v>
      </c>
      <c r="B82" s="189">
        <f t="shared" si="7"/>
        <v>0</v>
      </c>
      <c r="C82" s="189">
        <f t="shared" si="8"/>
        <v>0</v>
      </c>
      <c r="D82" s="189">
        <f t="shared" si="9"/>
        <v>0</v>
      </c>
      <c r="E82" s="189">
        <f t="shared" si="10"/>
        <v>0</v>
      </c>
      <c r="F82" s="189">
        <f t="shared" si="11"/>
        <v>0</v>
      </c>
      <c r="G82" s="189">
        <f t="shared" si="12"/>
        <v>0</v>
      </c>
      <c r="H82" s="189">
        <f t="shared" si="13"/>
        <v>0</v>
      </c>
    </row>
    <row r="83" spans="1:12" hidden="1" x14ac:dyDescent="0.35">
      <c r="A83" s="112">
        <f t="shared" si="6"/>
        <v>0</v>
      </c>
      <c r="B83" s="189">
        <f t="shared" si="7"/>
        <v>0</v>
      </c>
      <c r="C83" s="189">
        <f t="shared" si="8"/>
        <v>0</v>
      </c>
      <c r="D83" s="189">
        <f t="shared" si="9"/>
        <v>0</v>
      </c>
      <c r="E83" s="189">
        <f t="shared" si="10"/>
        <v>0</v>
      </c>
      <c r="F83" s="189">
        <f t="shared" si="11"/>
        <v>0</v>
      </c>
      <c r="G83" s="189">
        <f t="shared" si="12"/>
        <v>0</v>
      </c>
      <c r="H83" s="189">
        <f t="shared" si="13"/>
        <v>0</v>
      </c>
    </row>
    <row r="84" spans="1:12" hidden="1" x14ac:dyDescent="0.35">
      <c r="A84" s="112">
        <f t="shared" si="6"/>
        <v>0</v>
      </c>
      <c r="B84" s="189">
        <f t="shared" si="7"/>
        <v>0</v>
      </c>
      <c r="C84" s="189">
        <f t="shared" ref="C84:H89" si="14">C27*$B$63</f>
        <v>0</v>
      </c>
      <c r="D84" s="189">
        <f t="shared" si="14"/>
        <v>0</v>
      </c>
      <c r="E84" s="189">
        <f t="shared" si="14"/>
        <v>0</v>
      </c>
      <c r="F84" s="189">
        <f t="shared" si="14"/>
        <v>0</v>
      </c>
      <c r="G84" s="189">
        <f t="shared" si="14"/>
        <v>0</v>
      </c>
      <c r="H84" s="189">
        <f t="shared" si="14"/>
        <v>0</v>
      </c>
    </row>
    <row r="85" spans="1:12" hidden="1" x14ac:dyDescent="0.35">
      <c r="A85" s="112" t="str">
        <f t="shared" si="6"/>
        <v>Soybean</v>
      </c>
      <c r="B85" s="189">
        <f t="shared" si="7"/>
        <v>0</v>
      </c>
      <c r="C85" s="189">
        <f t="shared" si="14"/>
        <v>0</v>
      </c>
      <c r="D85" s="189">
        <f t="shared" si="14"/>
        <v>0</v>
      </c>
      <c r="E85" s="189">
        <f t="shared" si="14"/>
        <v>0</v>
      </c>
      <c r="F85" s="189">
        <f t="shared" si="14"/>
        <v>0</v>
      </c>
      <c r="G85" s="189">
        <f t="shared" si="14"/>
        <v>0</v>
      </c>
      <c r="H85" s="189">
        <f t="shared" si="14"/>
        <v>0</v>
      </c>
    </row>
    <row r="86" spans="1:12" hidden="1" x14ac:dyDescent="0.35">
      <c r="A86" s="112">
        <f t="shared" si="6"/>
        <v>0</v>
      </c>
      <c r="B86" s="189">
        <f t="shared" si="7"/>
        <v>0</v>
      </c>
      <c r="C86" s="189">
        <f t="shared" si="14"/>
        <v>0</v>
      </c>
      <c r="D86" s="189">
        <f t="shared" si="14"/>
        <v>0</v>
      </c>
      <c r="E86" s="189">
        <f t="shared" si="14"/>
        <v>0</v>
      </c>
      <c r="F86" s="189">
        <f t="shared" si="14"/>
        <v>0</v>
      </c>
      <c r="G86" s="189">
        <f t="shared" si="14"/>
        <v>0</v>
      </c>
      <c r="H86" s="189">
        <f t="shared" si="14"/>
        <v>0</v>
      </c>
    </row>
    <row r="87" spans="1:12" hidden="1" x14ac:dyDescent="0.35">
      <c r="A87" s="112">
        <f t="shared" si="6"/>
        <v>0</v>
      </c>
      <c r="B87" s="189">
        <f t="shared" si="7"/>
        <v>0</v>
      </c>
      <c r="C87" s="189">
        <f t="shared" si="14"/>
        <v>0</v>
      </c>
      <c r="D87" s="189">
        <f t="shared" si="14"/>
        <v>0</v>
      </c>
      <c r="E87" s="189">
        <f t="shared" si="14"/>
        <v>0</v>
      </c>
      <c r="F87" s="189">
        <f t="shared" si="14"/>
        <v>0</v>
      </c>
      <c r="G87" s="189">
        <f t="shared" si="14"/>
        <v>0</v>
      </c>
      <c r="H87" s="189">
        <f t="shared" si="14"/>
        <v>0</v>
      </c>
    </row>
    <row r="88" spans="1:12" hidden="1" x14ac:dyDescent="0.35">
      <c r="A88" s="112">
        <f t="shared" si="6"/>
        <v>0</v>
      </c>
      <c r="B88" s="189">
        <f t="shared" si="7"/>
        <v>0</v>
      </c>
      <c r="C88" s="189">
        <f t="shared" si="14"/>
        <v>0</v>
      </c>
      <c r="D88" s="189">
        <f t="shared" si="14"/>
        <v>0</v>
      </c>
      <c r="E88" s="189">
        <f t="shared" si="14"/>
        <v>0</v>
      </c>
      <c r="F88" s="189">
        <f t="shared" si="14"/>
        <v>0</v>
      </c>
      <c r="G88" s="189">
        <f t="shared" si="14"/>
        <v>0</v>
      </c>
      <c r="H88" s="189">
        <f t="shared" si="14"/>
        <v>0</v>
      </c>
    </row>
    <row r="89" spans="1:12" hidden="1" x14ac:dyDescent="0.35">
      <c r="A89" s="112">
        <f t="shared" si="6"/>
        <v>0</v>
      </c>
      <c r="B89" s="189">
        <f t="shared" si="7"/>
        <v>0</v>
      </c>
      <c r="C89" s="189">
        <f t="shared" si="14"/>
        <v>0</v>
      </c>
      <c r="D89" s="189">
        <f t="shared" si="14"/>
        <v>0</v>
      </c>
      <c r="E89" s="189">
        <f t="shared" si="14"/>
        <v>0</v>
      </c>
      <c r="F89" s="189">
        <f t="shared" si="14"/>
        <v>0</v>
      </c>
      <c r="G89" s="189">
        <f t="shared" si="14"/>
        <v>0</v>
      </c>
      <c r="H89" s="189">
        <f t="shared" si="14"/>
        <v>0</v>
      </c>
    </row>
    <row r="90" spans="1:12" hidden="1" x14ac:dyDescent="0.35">
      <c r="A90" s="112"/>
      <c r="B90" s="189"/>
      <c r="C90" s="189"/>
      <c r="D90" s="189"/>
      <c r="E90" s="189"/>
      <c r="F90" s="189"/>
      <c r="G90" s="189"/>
      <c r="H90" s="189"/>
      <c r="J90" s="190"/>
      <c r="K90" s="190"/>
      <c r="L90" s="190"/>
    </row>
    <row r="91" spans="1:12" hidden="1" x14ac:dyDescent="0.35">
      <c r="A91" s="112" t="str">
        <f t="shared" ref="A91:A109" si="15">A34</f>
        <v>Fruit  &amp; Vegetables Crop Production Details</v>
      </c>
      <c r="B91" s="189"/>
      <c r="C91" s="189"/>
      <c r="D91" s="189"/>
      <c r="E91" s="189"/>
      <c r="F91" s="189"/>
      <c r="G91" s="189"/>
      <c r="H91" s="189"/>
      <c r="J91" s="190"/>
      <c r="K91" s="190"/>
      <c r="L91" s="190"/>
    </row>
    <row r="92" spans="1:12" hidden="1" x14ac:dyDescent="0.35">
      <c r="A92" s="112" t="str">
        <f t="shared" si="15"/>
        <v>Onion</v>
      </c>
      <c r="B92" s="189">
        <f t="shared" ref="B92:H101" si="16">B35</f>
        <v>0</v>
      </c>
      <c r="C92" s="189">
        <f t="shared" si="16"/>
        <v>0</v>
      </c>
      <c r="D92" s="189">
        <f t="shared" si="16"/>
        <v>0</v>
      </c>
      <c r="E92" s="189">
        <f t="shared" si="16"/>
        <v>0</v>
      </c>
      <c r="F92" s="189">
        <f t="shared" si="16"/>
        <v>0</v>
      </c>
      <c r="G92" s="189">
        <f t="shared" si="16"/>
        <v>0</v>
      </c>
      <c r="H92" s="189">
        <f t="shared" si="16"/>
        <v>0</v>
      </c>
      <c r="J92" s="190"/>
      <c r="K92" s="190"/>
      <c r="L92" s="190"/>
    </row>
    <row r="93" spans="1:12" hidden="1" x14ac:dyDescent="0.35">
      <c r="A93" s="112" t="str">
        <f t="shared" si="15"/>
        <v>Tomato</v>
      </c>
      <c r="B93" s="189">
        <f t="shared" si="16"/>
        <v>0</v>
      </c>
      <c r="C93" s="189">
        <f t="shared" si="16"/>
        <v>0</v>
      </c>
      <c r="D93" s="189">
        <f t="shared" si="16"/>
        <v>0</v>
      </c>
      <c r="E93" s="189">
        <f t="shared" si="16"/>
        <v>0</v>
      </c>
      <c r="F93" s="189">
        <f t="shared" si="16"/>
        <v>0</v>
      </c>
      <c r="G93" s="189">
        <f t="shared" si="16"/>
        <v>0</v>
      </c>
      <c r="H93" s="189">
        <f t="shared" si="16"/>
        <v>0</v>
      </c>
      <c r="J93" s="190"/>
      <c r="K93" s="190"/>
      <c r="L93" s="190"/>
    </row>
    <row r="94" spans="1:12" hidden="1" x14ac:dyDescent="0.35">
      <c r="A94" s="112" t="str">
        <f t="shared" si="15"/>
        <v>Okra</v>
      </c>
      <c r="B94" s="189">
        <f t="shared" si="16"/>
        <v>0</v>
      </c>
      <c r="C94" s="189">
        <f t="shared" si="16"/>
        <v>0</v>
      </c>
      <c r="D94" s="189">
        <f t="shared" si="16"/>
        <v>0</v>
      </c>
      <c r="E94" s="189">
        <f t="shared" si="16"/>
        <v>0</v>
      </c>
      <c r="F94" s="189">
        <f t="shared" si="16"/>
        <v>0</v>
      </c>
      <c r="G94" s="189">
        <f t="shared" si="16"/>
        <v>0</v>
      </c>
      <c r="H94" s="189">
        <f t="shared" si="16"/>
        <v>0</v>
      </c>
      <c r="J94" s="190"/>
      <c r="K94" s="190"/>
      <c r="L94" s="190"/>
    </row>
    <row r="95" spans="1:12" hidden="1" x14ac:dyDescent="0.35">
      <c r="A95" s="112" t="str">
        <f t="shared" si="15"/>
        <v>Chilli</v>
      </c>
      <c r="B95" s="189">
        <f t="shared" si="16"/>
        <v>0</v>
      </c>
      <c r="C95" s="189">
        <f t="shared" si="16"/>
        <v>0</v>
      </c>
      <c r="D95" s="189">
        <f t="shared" si="16"/>
        <v>0</v>
      </c>
      <c r="E95" s="189">
        <f t="shared" si="16"/>
        <v>0</v>
      </c>
      <c r="F95" s="189">
        <f t="shared" si="16"/>
        <v>0</v>
      </c>
      <c r="G95" s="189">
        <f t="shared" si="16"/>
        <v>0</v>
      </c>
      <c r="H95" s="189">
        <f t="shared" si="16"/>
        <v>0</v>
      </c>
      <c r="J95" s="190"/>
      <c r="K95" s="190"/>
      <c r="L95" s="190"/>
    </row>
    <row r="96" spans="1:12" hidden="1" x14ac:dyDescent="0.35">
      <c r="A96" s="112" t="str">
        <f t="shared" si="15"/>
        <v>Potato</v>
      </c>
      <c r="B96" s="189">
        <f t="shared" si="16"/>
        <v>0</v>
      </c>
      <c r="C96" s="189">
        <f t="shared" si="16"/>
        <v>0</v>
      </c>
      <c r="D96" s="189">
        <f t="shared" si="16"/>
        <v>0</v>
      </c>
      <c r="E96" s="189">
        <f t="shared" si="16"/>
        <v>0</v>
      </c>
      <c r="F96" s="189">
        <f t="shared" si="16"/>
        <v>0</v>
      </c>
      <c r="G96" s="189">
        <f t="shared" si="16"/>
        <v>0</v>
      </c>
      <c r="H96" s="189">
        <f t="shared" si="16"/>
        <v>0</v>
      </c>
      <c r="J96" s="190"/>
      <c r="K96" s="190"/>
      <c r="L96" s="190"/>
    </row>
    <row r="97" spans="1:12" hidden="1" x14ac:dyDescent="0.35">
      <c r="A97" s="112">
        <f t="shared" si="15"/>
        <v>0</v>
      </c>
      <c r="B97" s="189">
        <f t="shared" si="16"/>
        <v>0</v>
      </c>
      <c r="C97" s="189">
        <f t="shared" si="16"/>
        <v>0</v>
      </c>
      <c r="D97" s="189">
        <f t="shared" si="16"/>
        <v>0</v>
      </c>
      <c r="E97" s="189">
        <f t="shared" si="16"/>
        <v>0</v>
      </c>
      <c r="F97" s="189">
        <f t="shared" si="16"/>
        <v>0</v>
      </c>
      <c r="G97" s="189">
        <f t="shared" si="16"/>
        <v>0</v>
      </c>
      <c r="H97" s="189">
        <f t="shared" si="16"/>
        <v>0</v>
      </c>
      <c r="J97" s="190"/>
      <c r="K97" s="190"/>
      <c r="L97" s="190"/>
    </row>
    <row r="98" spans="1:12" hidden="1" x14ac:dyDescent="0.35">
      <c r="A98" s="112">
        <f t="shared" si="15"/>
        <v>0</v>
      </c>
      <c r="B98" s="189">
        <f t="shared" si="16"/>
        <v>0</v>
      </c>
      <c r="C98" s="189">
        <f t="shared" si="16"/>
        <v>0</v>
      </c>
      <c r="D98" s="189">
        <f t="shared" si="16"/>
        <v>0</v>
      </c>
      <c r="E98" s="189">
        <f t="shared" si="16"/>
        <v>0</v>
      </c>
      <c r="F98" s="189">
        <f t="shared" si="16"/>
        <v>0</v>
      </c>
      <c r="G98" s="189">
        <f t="shared" si="16"/>
        <v>0</v>
      </c>
      <c r="H98" s="189">
        <f t="shared" si="16"/>
        <v>0</v>
      </c>
      <c r="J98" s="190"/>
      <c r="K98" s="190"/>
      <c r="L98" s="190"/>
    </row>
    <row r="99" spans="1:12" hidden="1" x14ac:dyDescent="0.35">
      <c r="A99" s="112">
        <f t="shared" si="15"/>
        <v>0</v>
      </c>
      <c r="B99" s="189">
        <f t="shared" si="16"/>
        <v>0</v>
      </c>
      <c r="C99" s="189">
        <f t="shared" si="16"/>
        <v>0</v>
      </c>
      <c r="D99" s="189">
        <f t="shared" si="16"/>
        <v>0</v>
      </c>
      <c r="E99" s="189">
        <f t="shared" si="16"/>
        <v>0</v>
      </c>
      <c r="F99" s="189">
        <f t="shared" si="16"/>
        <v>0</v>
      </c>
      <c r="G99" s="189">
        <f t="shared" si="16"/>
        <v>0</v>
      </c>
      <c r="H99" s="189">
        <f t="shared" si="16"/>
        <v>0</v>
      </c>
      <c r="J99" s="190"/>
      <c r="K99" s="190"/>
      <c r="L99" s="190"/>
    </row>
    <row r="100" spans="1:12" hidden="1" x14ac:dyDescent="0.35">
      <c r="A100" s="112">
        <f t="shared" si="15"/>
        <v>0</v>
      </c>
      <c r="B100" s="189">
        <f t="shared" si="16"/>
        <v>0</v>
      </c>
      <c r="C100" s="189">
        <f t="shared" si="16"/>
        <v>0</v>
      </c>
      <c r="D100" s="189">
        <f t="shared" si="16"/>
        <v>0</v>
      </c>
      <c r="E100" s="189">
        <f t="shared" si="16"/>
        <v>0</v>
      </c>
      <c r="F100" s="189">
        <f t="shared" si="16"/>
        <v>0</v>
      </c>
      <c r="G100" s="189">
        <f t="shared" si="16"/>
        <v>0</v>
      </c>
      <c r="H100" s="189">
        <f t="shared" si="16"/>
        <v>0</v>
      </c>
      <c r="J100" s="190"/>
      <c r="K100" s="190"/>
      <c r="L100" s="190"/>
    </row>
    <row r="101" spans="1:12" hidden="1" x14ac:dyDescent="0.35">
      <c r="A101" s="112" t="str">
        <f t="shared" si="15"/>
        <v>Onion</v>
      </c>
      <c r="B101" s="189">
        <f t="shared" si="16"/>
        <v>0</v>
      </c>
      <c r="C101" s="189">
        <f t="shared" si="16"/>
        <v>0</v>
      </c>
      <c r="D101" s="189">
        <f t="shared" si="16"/>
        <v>0</v>
      </c>
      <c r="E101" s="189">
        <f t="shared" si="16"/>
        <v>0</v>
      </c>
      <c r="F101" s="189">
        <f t="shared" si="16"/>
        <v>0</v>
      </c>
      <c r="G101" s="189">
        <f t="shared" si="16"/>
        <v>0</v>
      </c>
      <c r="H101" s="189">
        <f t="shared" si="16"/>
        <v>0</v>
      </c>
      <c r="J101" s="190"/>
      <c r="K101" s="190"/>
      <c r="L101" s="190"/>
    </row>
    <row r="102" spans="1:12" hidden="1" x14ac:dyDescent="0.35">
      <c r="A102" s="112" t="str">
        <f t="shared" si="15"/>
        <v>Tomato</v>
      </c>
      <c r="B102" s="189">
        <f t="shared" ref="B102:H109" si="17">B45</f>
        <v>0</v>
      </c>
      <c r="C102" s="189">
        <f t="shared" si="17"/>
        <v>0</v>
      </c>
      <c r="D102" s="189">
        <f t="shared" si="17"/>
        <v>0</v>
      </c>
      <c r="E102" s="189">
        <f t="shared" si="17"/>
        <v>0</v>
      </c>
      <c r="F102" s="189">
        <f t="shared" si="17"/>
        <v>0</v>
      </c>
      <c r="G102" s="189">
        <f t="shared" si="17"/>
        <v>0</v>
      </c>
      <c r="H102" s="189">
        <f t="shared" si="17"/>
        <v>0</v>
      </c>
      <c r="J102" s="190"/>
      <c r="K102" s="190"/>
      <c r="L102" s="190"/>
    </row>
    <row r="103" spans="1:12" hidden="1" x14ac:dyDescent="0.35">
      <c r="A103" s="112" t="str">
        <f t="shared" si="15"/>
        <v>Okra</v>
      </c>
      <c r="B103" s="189">
        <f t="shared" si="17"/>
        <v>0</v>
      </c>
      <c r="C103" s="189">
        <f t="shared" si="17"/>
        <v>0</v>
      </c>
      <c r="D103" s="189">
        <f t="shared" si="17"/>
        <v>0</v>
      </c>
      <c r="E103" s="189">
        <f t="shared" si="17"/>
        <v>0</v>
      </c>
      <c r="F103" s="189">
        <f t="shared" si="17"/>
        <v>0</v>
      </c>
      <c r="G103" s="189">
        <f t="shared" si="17"/>
        <v>0</v>
      </c>
      <c r="H103" s="189">
        <f t="shared" si="17"/>
        <v>0</v>
      </c>
      <c r="J103" s="190"/>
      <c r="K103" s="190"/>
      <c r="L103" s="190"/>
    </row>
    <row r="104" spans="1:12" hidden="1" x14ac:dyDescent="0.35">
      <c r="A104" s="112" t="str">
        <f t="shared" si="15"/>
        <v>Chilli</v>
      </c>
      <c r="B104" s="189">
        <f t="shared" si="17"/>
        <v>0</v>
      </c>
      <c r="C104" s="189">
        <f t="shared" si="17"/>
        <v>0</v>
      </c>
      <c r="D104" s="189">
        <f t="shared" si="17"/>
        <v>0</v>
      </c>
      <c r="E104" s="189">
        <f t="shared" si="17"/>
        <v>0</v>
      </c>
      <c r="F104" s="189">
        <f t="shared" si="17"/>
        <v>0</v>
      </c>
      <c r="G104" s="189">
        <f t="shared" si="17"/>
        <v>0</v>
      </c>
      <c r="H104" s="189">
        <f t="shared" si="17"/>
        <v>0</v>
      </c>
      <c r="J104" s="190"/>
      <c r="K104" s="190"/>
      <c r="L104" s="190"/>
    </row>
    <row r="105" spans="1:12" hidden="1" x14ac:dyDescent="0.35">
      <c r="A105" s="112" t="str">
        <f t="shared" si="15"/>
        <v>Brinjal</v>
      </c>
      <c r="B105" s="189">
        <f t="shared" si="17"/>
        <v>0</v>
      </c>
      <c r="C105" s="189">
        <f t="shared" si="17"/>
        <v>0</v>
      </c>
      <c r="D105" s="189">
        <f t="shared" si="17"/>
        <v>0</v>
      </c>
      <c r="E105" s="189">
        <f t="shared" si="17"/>
        <v>0</v>
      </c>
      <c r="F105" s="189">
        <f t="shared" si="17"/>
        <v>0</v>
      </c>
      <c r="G105" s="189">
        <f t="shared" si="17"/>
        <v>0</v>
      </c>
      <c r="H105" s="189">
        <f t="shared" si="17"/>
        <v>0</v>
      </c>
      <c r="J105" s="190"/>
      <c r="K105" s="190"/>
      <c r="L105" s="190"/>
    </row>
    <row r="106" spans="1:12" hidden="1" x14ac:dyDescent="0.35">
      <c r="A106" s="112">
        <f t="shared" si="15"/>
        <v>0</v>
      </c>
      <c r="B106" s="189">
        <f t="shared" si="17"/>
        <v>0</v>
      </c>
      <c r="C106" s="189">
        <f t="shared" si="17"/>
        <v>0</v>
      </c>
      <c r="D106" s="189">
        <f t="shared" si="17"/>
        <v>0</v>
      </c>
      <c r="E106" s="189">
        <f t="shared" si="17"/>
        <v>0</v>
      </c>
      <c r="F106" s="189">
        <f t="shared" si="17"/>
        <v>0</v>
      </c>
      <c r="G106" s="189">
        <f t="shared" si="17"/>
        <v>0</v>
      </c>
      <c r="H106" s="189">
        <f t="shared" si="17"/>
        <v>0</v>
      </c>
      <c r="J106" s="190"/>
      <c r="K106" s="190"/>
      <c r="L106" s="190"/>
    </row>
    <row r="107" spans="1:12" hidden="1" x14ac:dyDescent="0.35">
      <c r="A107" s="112">
        <f t="shared" si="15"/>
        <v>0</v>
      </c>
      <c r="B107" s="189">
        <f t="shared" si="17"/>
        <v>0</v>
      </c>
      <c r="C107" s="189">
        <f t="shared" si="17"/>
        <v>0</v>
      </c>
      <c r="D107" s="189">
        <f t="shared" si="17"/>
        <v>0</v>
      </c>
      <c r="E107" s="189">
        <f t="shared" si="17"/>
        <v>0</v>
      </c>
      <c r="F107" s="189">
        <f t="shared" si="17"/>
        <v>0</v>
      </c>
      <c r="G107" s="189">
        <f t="shared" si="17"/>
        <v>0</v>
      </c>
      <c r="H107" s="189">
        <f t="shared" si="17"/>
        <v>0</v>
      </c>
      <c r="J107" s="190"/>
      <c r="K107" s="190"/>
      <c r="L107" s="190"/>
    </row>
    <row r="108" spans="1:12" hidden="1" x14ac:dyDescent="0.35">
      <c r="A108" s="112">
        <f t="shared" si="15"/>
        <v>0</v>
      </c>
      <c r="B108" s="189">
        <f t="shared" si="17"/>
        <v>0</v>
      </c>
      <c r="C108" s="189">
        <f t="shared" si="17"/>
        <v>0</v>
      </c>
      <c r="D108" s="189">
        <f t="shared" si="17"/>
        <v>0</v>
      </c>
      <c r="E108" s="189">
        <f t="shared" si="17"/>
        <v>0</v>
      </c>
      <c r="F108" s="189">
        <f t="shared" si="17"/>
        <v>0</v>
      </c>
      <c r="G108" s="189">
        <f t="shared" si="17"/>
        <v>0</v>
      </c>
      <c r="H108" s="189">
        <f t="shared" si="17"/>
        <v>0</v>
      </c>
      <c r="J108" s="190"/>
      <c r="K108" s="190"/>
      <c r="L108" s="190"/>
    </row>
    <row r="109" spans="1:12" hidden="1" x14ac:dyDescent="0.35">
      <c r="A109" s="112">
        <f t="shared" si="15"/>
        <v>0</v>
      </c>
      <c r="B109" s="189">
        <f t="shared" si="17"/>
        <v>0</v>
      </c>
      <c r="C109" s="189">
        <f t="shared" si="17"/>
        <v>0</v>
      </c>
      <c r="D109" s="189">
        <f t="shared" si="17"/>
        <v>0</v>
      </c>
      <c r="E109" s="189">
        <f t="shared" si="17"/>
        <v>0</v>
      </c>
      <c r="F109" s="189">
        <f t="shared" si="17"/>
        <v>0</v>
      </c>
      <c r="G109" s="189">
        <f t="shared" si="17"/>
        <v>0</v>
      </c>
      <c r="H109" s="189">
        <f t="shared" si="17"/>
        <v>0</v>
      </c>
      <c r="J109" s="190"/>
      <c r="K109" s="190"/>
      <c r="L109" s="190"/>
    </row>
    <row r="110" spans="1:12" hidden="1" x14ac:dyDescent="0.35">
      <c r="A110" s="112">
        <f t="shared" ref="A110:A113" si="18">A53</f>
        <v>0</v>
      </c>
      <c r="B110" s="189"/>
      <c r="C110" s="189"/>
      <c r="D110" s="189"/>
      <c r="E110" s="189"/>
      <c r="F110" s="189"/>
      <c r="G110" s="189"/>
      <c r="H110" s="189"/>
      <c r="J110" s="190"/>
      <c r="K110" s="190"/>
      <c r="L110" s="190"/>
    </row>
    <row r="111" spans="1:12" hidden="1" x14ac:dyDescent="0.35">
      <c r="A111" s="112">
        <f t="shared" si="18"/>
        <v>0</v>
      </c>
      <c r="B111" s="189"/>
      <c r="C111" s="189"/>
      <c r="D111" s="189"/>
      <c r="E111" s="189"/>
      <c r="F111" s="189"/>
      <c r="G111" s="189"/>
      <c r="H111" s="189"/>
      <c r="J111" s="190"/>
      <c r="K111" s="190"/>
      <c r="L111" s="190"/>
    </row>
    <row r="112" spans="1:12" hidden="1" x14ac:dyDescent="0.35">
      <c r="A112" s="112">
        <f t="shared" si="18"/>
        <v>0</v>
      </c>
      <c r="B112" s="189"/>
      <c r="C112" s="189"/>
      <c r="D112" s="189"/>
      <c r="E112" s="189"/>
      <c r="F112" s="189"/>
      <c r="G112" s="189"/>
      <c r="H112" s="189"/>
      <c r="J112" s="190"/>
      <c r="K112" s="190"/>
      <c r="L112" s="190"/>
    </row>
    <row r="113" spans="1:12" hidden="1" x14ac:dyDescent="0.35">
      <c r="A113" s="112" t="str">
        <f t="shared" si="18"/>
        <v>Pomegranate</v>
      </c>
      <c r="B113" s="189">
        <f t="shared" ref="B113:H116" si="19">B56</f>
        <v>0</v>
      </c>
      <c r="C113" s="189">
        <f t="shared" si="19"/>
        <v>0</v>
      </c>
      <c r="D113" s="189">
        <f t="shared" si="19"/>
        <v>0</v>
      </c>
      <c r="E113" s="189">
        <f t="shared" si="19"/>
        <v>0</v>
      </c>
      <c r="F113" s="189">
        <f t="shared" si="19"/>
        <v>0</v>
      </c>
      <c r="G113" s="189">
        <f t="shared" si="19"/>
        <v>0</v>
      </c>
      <c r="H113" s="189">
        <f t="shared" si="19"/>
        <v>0</v>
      </c>
      <c r="J113" s="190"/>
      <c r="K113" s="190"/>
      <c r="L113" s="190"/>
    </row>
    <row r="114" spans="1:12" hidden="1" x14ac:dyDescent="0.35">
      <c r="A114" s="112" t="str">
        <f>A57</f>
        <v>Custard Apple</v>
      </c>
      <c r="B114" s="189">
        <f t="shared" si="19"/>
        <v>0</v>
      </c>
      <c r="C114" s="189">
        <f t="shared" si="19"/>
        <v>0</v>
      </c>
      <c r="D114" s="189">
        <f t="shared" si="19"/>
        <v>0</v>
      </c>
      <c r="E114" s="189">
        <f t="shared" si="19"/>
        <v>0</v>
      </c>
      <c r="F114" s="189">
        <f t="shared" si="19"/>
        <v>0</v>
      </c>
      <c r="G114" s="189">
        <f t="shared" si="19"/>
        <v>0</v>
      </c>
      <c r="H114" s="189">
        <f t="shared" si="19"/>
        <v>0</v>
      </c>
      <c r="J114" s="190"/>
      <c r="K114" s="190"/>
      <c r="L114" s="190"/>
    </row>
    <row r="115" spans="1:12" hidden="1" x14ac:dyDescent="0.35">
      <c r="A115" s="112" t="str">
        <f>A58</f>
        <v>Guava</v>
      </c>
      <c r="B115" s="189">
        <f t="shared" si="19"/>
        <v>0</v>
      </c>
      <c r="C115" s="189">
        <f t="shared" si="19"/>
        <v>0</v>
      </c>
      <c r="D115" s="189">
        <f t="shared" si="19"/>
        <v>0</v>
      </c>
      <c r="E115" s="189">
        <f t="shared" si="19"/>
        <v>0</v>
      </c>
      <c r="F115" s="189">
        <f t="shared" si="19"/>
        <v>0</v>
      </c>
      <c r="G115" s="189">
        <f t="shared" si="19"/>
        <v>0</v>
      </c>
      <c r="H115" s="189">
        <f t="shared" si="19"/>
        <v>0</v>
      </c>
      <c r="J115" s="190"/>
      <c r="K115" s="190"/>
      <c r="L115" s="190"/>
    </row>
    <row r="116" spans="1:12" hidden="1" x14ac:dyDescent="0.35">
      <c r="A116" s="112" t="str">
        <f>A59</f>
        <v>Citrus</v>
      </c>
      <c r="B116" s="189">
        <f t="shared" si="19"/>
        <v>0</v>
      </c>
      <c r="C116" s="189">
        <f t="shared" si="19"/>
        <v>0</v>
      </c>
      <c r="D116" s="189">
        <f t="shared" si="19"/>
        <v>0</v>
      </c>
      <c r="E116" s="189">
        <f t="shared" si="19"/>
        <v>0</v>
      </c>
      <c r="F116" s="189">
        <f t="shared" si="19"/>
        <v>0</v>
      </c>
      <c r="G116" s="189">
        <f t="shared" si="19"/>
        <v>0</v>
      </c>
      <c r="H116" s="189">
        <f t="shared" si="19"/>
        <v>0</v>
      </c>
      <c r="J116" s="190"/>
      <c r="K116" s="190"/>
      <c r="L116" s="190"/>
    </row>
    <row r="117" spans="1:12" x14ac:dyDescent="0.35">
      <c r="A117" s="112"/>
      <c r="B117" s="189"/>
      <c r="C117" s="189"/>
      <c r="D117" s="189"/>
      <c r="E117" s="189"/>
      <c r="F117" s="189"/>
      <c r="G117" s="189"/>
      <c r="H117" s="189"/>
      <c r="J117" s="190"/>
      <c r="K117" s="190"/>
      <c r="L117" s="190"/>
    </row>
    <row r="118" spans="1:12" x14ac:dyDescent="0.35">
      <c r="A118" s="112"/>
      <c r="B118" s="189"/>
      <c r="C118" s="189"/>
      <c r="D118" s="189"/>
      <c r="E118" s="189"/>
      <c r="F118" s="189"/>
      <c r="G118" s="189"/>
      <c r="H118" s="189"/>
      <c r="J118" s="190"/>
      <c r="K118" s="190"/>
      <c r="L118" s="190"/>
    </row>
    <row r="119" spans="1:12" x14ac:dyDescent="0.35">
      <c r="A119" s="191" t="s">
        <v>138</v>
      </c>
      <c r="B119" s="112"/>
      <c r="C119" s="112"/>
      <c r="D119" s="112"/>
      <c r="E119" s="112"/>
      <c r="F119" s="112"/>
      <c r="G119" s="112"/>
      <c r="H119" s="112"/>
    </row>
    <row r="120" spans="1:12" x14ac:dyDescent="0.35">
      <c r="A120" s="125" t="str">
        <f t="shared" ref="A120:A141" si="20">A68</f>
        <v>Soybean</v>
      </c>
      <c r="B120" s="498">
        <f>B68-(B68*$G$6)</f>
        <v>6295.66678125</v>
      </c>
      <c r="C120" s="498">
        <f t="shared" ref="B120:H129" si="21">C68-(C68*$G$6)</f>
        <v>6925.2334593750011</v>
      </c>
      <c r="D120" s="498">
        <f t="shared" si="21"/>
        <v>7554.8001375000013</v>
      </c>
      <c r="E120" s="498">
        <f t="shared" si="21"/>
        <v>8184.3668156250014</v>
      </c>
      <c r="F120" s="498">
        <f t="shared" si="21"/>
        <v>8813.9334937500025</v>
      </c>
      <c r="G120" s="498">
        <f t="shared" si="21"/>
        <v>9443.5001718750027</v>
      </c>
      <c r="H120" s="498">
        <f t="shared" si="21"/>
        <v>10073.066850000003</v>
      </c>
    </row>
    <row r="121" spans="1:12" x14ac:dyDescent="0.35">
      <c r="A121" s="125" t="str">
        <f t="shared" si="20"/>
        <v>Tur</v>
      </c>
      <c r="B121" s="498">
        <f t="shared" si="21"/>
        <v>805.50618750000001</v>
      </c>
      <c r="C121" s="498">
        <f t="shared" si="21"/>
        <v>886.05680625000014</v>
      </c>
      <c r="D121" s="498">
        <f t="shared" si="21"/>
        <v>966.60742500000015</v>
      </c>
      <c r="E121" s="498">
        <f t="shared" si="21"/>
        <v>1047.1580437500002</v>
      </c>
      <c r="F121" s="498">
        <f t="shared" si="21"/>
        <v>1127.7086625000002</v>
      </c>
      <c r="G121" s="498">
        <f t="shared" si="21"/>
        <v>1208.2592812500004</v>
      </c>
      <c r="H121" s="498">
        <f t="shared" si="21"/>
        <v>1288.8099000000004</v>
      </c>
    </row>
    <row r="122" spans="1:12" hidden="1" x14ac:dyDescent="0.35">
      <c r="A122" s="125" t="str">
        <f t="shared" si="20"/>
        <v>Turmeric</v>
      </c>
      <c r="B122" s="498">
        <f t="shared" si="21"/>
        <v>0</v>
      </c>
      <c r="C122" s="498">
        <f t="shared" si="21"/>
        <v>0</v>
      </c>
      <c r="D122" s="498">
        <f t="shared" si="21"/>
        <v>0</v>
      </c>
      <c r="E122" s="498">
        <f t="shared" si="21"/>
        <v>0</v>
      </c>
      <c r="F122" s="498">
        <f t="shared" si="21"/>
        <v>0</v>
      </c>
      <c r="G122" s="498">
        <f t="shared" si="21"/>
        <v>0</v>
      </c>
      <c r="H122" s="498">
        <f t="shared" si="21"/>
        <v>0</v>
      </c>
    </row>
    <row r="123" spans="1:12" x14ac:dyDescent="0.35">
      <c r="A123" s="125" t="str">
        <f t="shared" si="20"/>
        <v>Moong</v>
      </c>
      <c r="B123" s="498">
        <f t="shared" si="21"/>
        <v>419.71111874999997</v>
      </c>
      <c r="C123" s="498">
        <f t="shared" si="21"/>
        <v>461.68223062500005</v>
      </c>
      <c r="D123" s="498">
        <f t="shared" si="21"/>
        <v>503.65334250000006</v>
      </c>
      <c r="E123" s="498">
        <f t="shared" si="21"/>
        <v>545.62445437500014</v>
      </c>
      <c r="F123" s="498">
        <f t="shared" si="21"/>
        <v>587.59556625000016</v>
      </c>
      <c r="G123" s="498">
        <f t="shared" si="21"/>
        <v>629.56667812500018</v>
      </c>
      <c r="H123" s="498">
        <f t="shared" si="21"/>
        <v>671.5377900000002</v>
      </c>
    </row>
    <row r="124" spans="1:12" hidden="1" x14ac:dyDescent="0.35">
      <c r="A124" s="125" t="str">
        <f t="shared" si="20"/>
        <v>Maize</v>
      </c>
      <c r="B124" s="498">
        <f t="shared" si="21"/>
        <v>0</v>
      </c>
      <c r="C124" s="498">
        <f t="shared" si="21"/>
        <v>0</v>
      </c>
      <c r="D124" s="498">
        <f t="shared" si="21"/>
        <v>0</v>
      </c>
      <c r="E124" s="498">
        <f t="shared" si="21"/>
        <v>0</v>
      </c>
      <c r="F124" s="498">
        <f t="shared" si="21"/>
        <v>0</v>
      </c>
      <c r="G124" s="498">
        <f t="shared" si="21"/>
        <v>0</v>
      </c>
      <c r="H124" s="498">
        <f t="shared" si="21"/>
        <v>0</v>
      </c>
    </row>
    <row r="125" spans="1:12" x14ac:dyDescent="0.35">
      <c r="A125" s="125" t="str">
        <f t="shared" si="20"/>
        <v>Udid</v>
      </c>
      <c r="B125" s="498">
        <f t="shared" si="21"/>
        <v>419.71111874999997</v>
      </c>
      <c r="C125" s="498">
        <f t="shared" si="21"/>
        <v>461.68223062500005</v>
      </c>
      <c r="D125" s="498">
        <f t="shared" si="21"/>
        <v>503.65334250000006</v>
      </c>
      <c r="E125" s="498">
        <f t="shared" si="21"/>
        <v>545.62445437500014</v>
      </c>
      <c r="F125" s="498">
        <f t="shared" si="21"/>
        <v>587.59556625000016</v>
      </c>
      <c r="G125" s="498">
        <f t="shared" si="21"/>
        <v>629.56667812500018</v>
      </c>
      <c r="H125" s="498">
        <f t="shared" si="21"/>
        <v>671.5377900000002</v>
      </c>
    </row>
    <row r="126" spans="1:12" hidden="1" x14ac:dyDescent="0.35">
      <c r="A126" s="125" t="str">
        <f t="shared" si="20"/>
        <v>Bajra</v>
      </c>
      <c r="B126" s="498">
        <f t="shared" si="21"/>
        <v>0</v>
      </c>
      <c r="C126" s="498">
        <f t="shared" si="21"/>
        <v>0</v>
      </c>
      <c r="D126" s="498">
        <f t="shared" si="21"/>
        <v>0</v>
      </c>
      <c r="E126" s="498">
        <f t="shared" si="21"/>
        <v>0</v>
      </c>
      <c r="F126" s="498">
        <f t="shared" si="21"/>
        <v>0</v>
      </c>
      <c r="G126" s="498">
        <f t="shared" si="21"/>
        <v>0</v>
      </c>
      <c r="H126" s="498">
        <f t="shared" si="21"/>
        <v>0</v>
      </c>
    </row>
    <row r="127" spans="1:12" x14ac:dyDescent="0.35">
      <c r="A127" s="125" t="str">
        <f t="shared" si="20"/>
        <v>Jawar</v>
      </c>
      <c r="B127" s="498">
        <f t="shared" si="21"/>
        <v>411.23210625000002</v>
      </c>
      <c r="C127" s="498">
        <f t="shared" si="21"/>
        <v>452.35531687500003</v>
      </c>
      <c r="D127" s="498">
        <f t="shared" si="21"/>
        <v>493.4785275000001</v>
      </c>
      <c r="E127" s="498">
        <f t="shared" si="21"/>
        <v>534.60173812500011</v>
      </c>
      <c r="F127" s="498">
        <f t="shared" si="21"/>
        <v>575.72494875000029</v>
      </c>
      <c r="G127" s="498">
        <f t="shared" si="21"/>
        <v>616.84815937500025</v>
      </c>
      <c r="H127" s="498">
        <f t="shared" si="21"/>
        <v>657.97137000000032</v>
      </c>
    </row>
    <row r="128" spans="1:12" hidden="1" x14ac:dyDescent="0.35">
      <c r="A128" s="125">
        <f t="shared" si="20"/>
        <v>0</v>
      </c>
      <c r="B128" s="498">
        <f t="shared" si="21"/>
        <v>0</v>
      </c>
      <c r="C128" s="498">
        <f t="shared" si="21"/>
        <v>0</v>
      </c>
      <c r="D128" s="498">
        <f t="shared" si="21"/>
        <v>0</v>
      </c>
      <c r="E128" s="498">
        <f t="shared" si="21"/>
        <v>0</v>
      </c>
      <c r="F128" s="498">
        <f t="shared" si="21"/>
        <v>0</v>
      </c>
      <c r="G128" s="498">
        <f t="shared" si="21"/>
        <v>0</v>
      </c>
      <c r="H128" s="498">
        <f t="shared" si="21"/>
        <v>0</v>
      </c>
    </row>
    <row r="129" spans="1:8" x14ac:dyDescent="0.35">
      <c r="A129" s="125" t="str">
        <f t="shared" si="20"/>
        <v>Wheat</v>
      </c>
      <c r="B129" s="498">
        <f t="shared" si="21"/>
        <v>828.52064999999993</v>
      </c>
      <c r="C129" s="498">
        <f t="shared" si="21"/>
        <v>911.37271500000008</v>
      </c>
      <c r="D129" s="498">
        <f t="shared" si="21"/>
        <v>994.22478000000012</v>
      </c>
      <c r="E129" s="498">
        <f t="shared" si="21"/>
        <v>1077.0768450000003</v>
      </c>
      <c r="F129" s="498">
        <f t="shared" si="21"/>
        <v>1159.9289100000003</v>
      </c>
      <c r="G129" s="498">
        <f t="shared" si="21"/>
        <v>1242.7809750000004</v>
      </c>
      <c r="H129" s="498">
        <f t="shared" si="21"/>
        <v>1325.6330400000006</v>
      </c>
    </row>
    <row r="130" spans="1:8" x14ac:dyDescent="0.35">
      <c r="A130" s="125" t="str">
        <f t="shared" si="20"/>
        <v>Channa</v>
      </c>
      <c r="B130" s="498">
        <f t="shared" ref="B130:H139" si="22">B78-(B78*$G$6)</f>
        <v>2899.822275</v>
      </c>
      <c r="C130" s="498">
        <f t="shared" si="22"/>
        <v>3189.8045025000006</v>
      </c>
      <c r="D130" s="498">
        <f t="shared" si="22"/>
        <v>3479.7867300000007</v>
      </c>
      <c r="E130" s="498">
        <f t="shared" si="22"/>
        <v>3769.7689575000009</v>
      </c>
      <c r="F130" s="498">
        <f t="shared" si="22"/>
        <v>4059.7511850000014</v>
      </c>
      <c r="G130" s="498">
        <f t="shared" si="22"/>
        <v>4349.7334125000016</v>
      </c>
      <c r="H130" s="498">
        <f t="shared" si="22"/>
        <v>4639.7156400000022</v>
      </c>
    </row>
    <row r="131" spans="1:8" x14ac:dyDescent="0.35">
      <c r="A131" s="125" t="str">
        <f t="shared" si="20"/>
        <v>Jawar</v>
      </c>
      <c r="B131" s="498">
        <f t="shared" si="22"/>
        <v>493.47852750000004</v>
      </c>
      <c r="C131" s="498">
        <f t="shared" si="22"/>
        <v>542.82638025000006</v>
      </c>
      <c r="D131" s="498">
        <f t="shared" si="22"/>
        <v>592.17423300000019</v>
      </c>
      <c r="E131" s="498">
        <f t="shared" si="22"/>
        <v>641.5220857500002</v>
      </c>
      <c r="F131" s="498">
        <f t="shared" si="22"/>
        <v>690.86993850000033</v>
      </c>
      <c r="G131" s="498">
        <f t="shared" si="22"/>
        <v>740.21779125000035</v>
      </c>
      <c r="H131" s="498">
        <f t="shared" si="22"/>
        <v>789.56564400000036</v>
      </c>
    </row>
    <row r="132" spans="1:8" hidden="1" x14ac:dyDescent="0.35">
      <c r="A132" s="125" t="str">
        <f t="shared" si="20"/>
        <v>Maize</v>
      </c>
      <c r="B132" s="184">
        <f t="shared" si="22"/>
        <v>0</v>
      </c>
      <c r="C132" s="184">
        <f t="shared" si="22"/>
        <v>0</v>
      </c>
      <c r="D132" s="184">
        <f t="shared" si="22"/>
        <v>0</v>
      </c>
      <c r="E132" s="184">
        <f t="shared" si="22"/>
        <v>0</v>
      </c>
      <c r="F132" s="184">
        <f t="shared" si="22"/>
        <v>0</v>
      </c>
      <c r="G132" s="184">
        <f t="shared" si="22"/>
        <v>0</v>
      </c>
      <c r="H132" s="184">
        <f t="shared" si="22"/>
        <v>0</v>
      </c>
    </row>
    <row r="133" spans="1:8" hidden="1" x14ac:dyDescent="0.35">
      <c r="A133" s="125" t="str">
        <f t="shared" si="20"/>
        <v>Safflower</v>
      </c>
      <c r="B133" s="184">
        <f t="shared" si="22"/>
        <v>0</v>
      </c>
      <c r="C133" s="184">
        <f t="shared" si="22"/>
        <v>0</v>
      </c>
      <c r="D133" s="184">
        <f t="shared" si="22"/>
        <v>0</v>
      </c>
      <c r="E133" s="184">
        <f t="shared" si="22"/>
        <v>0</v>
      </c>
      <c r="F133" s="184">
        <f t="shared" si="22"/>
        <v>0</v>
      </c>
      <c r="G133" s="184">
        <f t="shared" si="22"/>
        <v>0</v>
      </c>
      <c r="H133" s="184">
        <f t="shared" si="22"/>
        <v>0</v>
      </c>
    </row>
    <row r="134" spans="1:8" hidden="1" x14ac:dyDescent="0.35">
      <c r="A134" s="125" t="str">
        <f t="shared" si="20"/>
        <v>Groundnut</v>
      </c>
      <c r="B134" s="184">
        <f t="shared" si="22"/>
        <v>0</v>
      </c>
      <c r="C134" s="184">
        <f t="shared" si="22"/>
        <v>0</v>
      </c>
      <c r="D134" s="184">
        <f t="shared" si="22"/>
        <v>0</v>
      </c>
      <c r="E134" s="184">
        <f t="shared" si="22"/>
        <v>0</v>
      </c>
      <c r="F134" s="184">
        <f t="shared" si="22"/>
        <v>0</v>
      </c>
      <c r="G134" s="184">
        <f t="shared" si="22"/>
        <v>0</v>
      </c>
      <c r="H134" s="184">
        <f t="shared" si="22"/>
        <v>0</v>
      </c>
    </row>
    <row r="135" spans="1:8" hidden="1" x14ac:dyDescent="0.35">
      <c r="A135" s="125">
        <f t="shared" si="20"/>
        <v>0</v>
      </c>
      <c r="B135" s="184">
        <f t="shared" si="22"/>
        <v>0</v>
      </c>
      <c r="C135" s="184">
        <f t="shared" si="22"/>
        <v>0</v>
      </c>
      <c r="D135" s="184">
        <f t="shared" si="22"/>
        <v>0</v>
      </c>
      <c r="E135" s="184">
        <f t="shared" si="22"/>
        <v>0</v>
      </c>
      <c r="F135" s="184">
        <f t="shared" si="22"/>
        <v>0</v>
      </c>
      <c r="G135" s="184">
        <f t="shared" si="22"/>
        <v>0</v>
      </c>
      <c r="H135" s="184">
        <f t="shared" si="22"/>
        <v>0</v>
      </c>
    </row>
    <row r="136" spans="1:8" hidden="1" x14ac:dyDescent="0.35">
      <c r="A136" s="125">
        <f t="shared" si="20"/>
        <v>0</v>
      </c>
      <c r="B136" s="184">
        <f t="shared" si="22"/>
        <v>0</v>
      </c>
      <c r="C136" s="184">
        <f t="shared" si="22"/>
        <v>0</v>
      </c>
      <c r="D136" s="184">
        <f t="shared" si="22"/>
        <v>0</v>
      </c>
      <c r="E136" s="184">
        <f t="shared" si="22"/>
        <v>0</v>
      </c>
      <c r="F136" s="184">
        <f t="shared" si="22"/>
        <v>0</v>
      </c>
      <c r="G136" s="184">
        <f t="shared" si="22"/>
        <v>0</v>
      </c>
      <c r="H136" s="184">
        <f t="shared" si="22"/>
        <v>0</v>
      </c>
    </row>
    <row r="137" spans="1:8" hidden="1" x14ac:dyDescent="0.35">
      <c r="A137" s="125" t="str">
        <f t="shared" si="20"/>
        <v>Soybean</v>
      </c>
      <c r="B137" s="184">
        <f t="shared" si="22"/>
        <v>0</v>
      </c>
      <c r="C137" s="184">
        <f t="shared" si="22"/>
        <v>0</v>
      </c>
      <c r="D137" s="184">
        <f t="shared" si="22"/>
        <v>0</v>
      </c>
      <c r="E137" s="184">
        <f t="shared" si="22"/>
        <v>0</v>
      </c>
      <c r="F137" s="184">
        <f t="shared" si="22"/>
        <v>0</v>
      </c>
      <c r="G137" s="184">
        <f t="shared" si="22"/>
        <v>0</v>
      </c>
      <c r="H137" s="184">
        <f t="shared" si="22"/>
        <v>0</v>
      </c>
    </row>
    <row r="138" spans="1:8" hidden="1" x14ac:dyDescent="0.35">
      <c r="A138" s="125">
        <f t="shared" si="20"/>
        <v>0</v>
      </c>
      <c r="B138" s="184">
        <f t="shared" si="22"/>
        <v>0</v>
      </c>
      <c r="C138" s="184">
        <f t="shared" si="22"/>
        <v>0</v>
      </c>
      <c r="D138" s="184">
        <f t="shared" si="22"/>
        <v>0</v>
      </c>
      <c r="E138" s="184">
        <f t="shared" si="22"/>
        <v>0</v>
      </c>
      <c r="F138" s="184">
        <f t="shared" si="22"/>
        <v>0</v>
      </c>
      <c r="G138" s="184">
        <f t="shared" si="22"/>
        <v>0</v>
      </c>
      <c r="H138" s="184">
        <f t="shared" si="22"/>
        <v>0</v>
      </c>
    </row>
    <row r="139" spans="1:8" hidden="1" x14ac:dyDescent="0.35">
      <c r="A139" s="125">
        <f t="shared" si="20"/>
        <v>0</v>
      </c>
      <c r="B139" s="184">
        <f t="shared" si="22"/>
        <v>0</v>
      </c>
      <c r="C139" s="184">
        <f t="shared" si="22"/>
        <v>0</v>
      </c>
      <c r="D139" s="184">
        <f t="shared" si="22"/>
        <v>0</v>
      </c>
      <c r="E139" s="184">
        <f t="shared" si="22"/>
        <v>0</v>
      </c>
      <c r="F139" s="184">
        <f t="shared" si="22"/>
        <v>0</v>
      </c>
      <c r="G139" s="184">
        <f t="shared" si="22"/>
        <v>0</v>
      </c>
      <c r="H139" s="184">
        <f t="shared" si="22"/>
        <v>0</v>
      </c>
    </row>
    <row r="140" spans="1:8" hidden="1" x14ac:dyDescent="0.35">
      <c r="A140" s="125">
        <f t="shared" si="20"/>
        <v>0</v>
      </c>
      <c r="B140" s="184">
        <f t="shared" ref="B140:H141" si="23">B88-(B88*$G$6)</f>
        <v>0</v>
      </c>
      <c r="C140" s="184">
        <f t="shared" si="23"/>
        <v>0</v>
      </c>
      <c r="D140" s="184">
        <f t="shared" si="23"/>
        <v>0</v>
      </c>
      <c r="E140" s="184">
        <f t="shared" si="23"/>
        <v>0</v>
      </c>
      <c r="F140" s="184">
        <f t="shared" si="23"/>
        <v>0</v>
      </c>
      <c r="G140" s="184">
        <f t="shared" si="23"/>
        <v>0</v>
      </c>
      <c r="H140" s="184">
        <f t="shared" si="23"/>
        <v>0</v>
      </c>
    </row>
    <row r="141" spans="1:8" hidden="1" x14ac:dyDescent="0.35">
      <c r="A141" s="125">
        <f t="shared" si="20"/>
        <v>0</v>
      </c>
      <c r="B141" s="184">
        <f t="shared" si="23"/>
        <v>0</v>
      </c>
      <c r="C141" s="184">
        <f t="shared" si="23"/>
        <v>0</v>
      </c>
      <c r="D141" s="184">
        <f t="shared" si="23"/>
        <v>0</v>
      </c>
      <c r="E141" s="184">
        <f t="shared" si="23"/>
        <v>0</v>
      </c>
      <c r="F141" s="184">
        <f t="shared" si="23"/>
        <v>0</v>
      </c>
      <c r="G141" s="184">
        <f t="shared" si="23"/>
        <v>0</v>
      </c>
      <c r="H141" s="184">
        <f t="shared" si="23"/>
        <v>0</v>
      </c>
    </row>
    <row r="142" spans="1:8" x14ac:dyDescent="0.35">
      <c r="A142" s="125"/>
      <c r="B142" s="184"/>
      <c r="C142" s="184"/>
      <c r="D142" s="184"/>
      <c r="E142" s="184"/>
      <c r="F142" s="184"/>
      <c r="G142" s="184"/>
      <c r="H142" s="184"/>
    </row>
    <row r="143" spans="1:8" hidden="1" x14ac:dyDescent="0.35">
      <c r="A143" s="191" t="str">
        <f t="shared" ref="A143:A161" si="24">A91</f>
        <v>Fruit  &amp; Vegetables Crop Production Details</v>
      </c>
      <c r="B143" s="184"/>
      <c r="C143" s="184"/>
      <c r="D143" s="184"/>
      <c r="E143" s="184"/>
      <c r="F143" s="184"/>
      <c r="G143" s="184"/>
      <c r="H143" s="184"/>
    </row>
    <row r="144" spans="1:8" hidden="1" x14ac:dyDescent="0.35">
      <c r="A144" s="125" t="str">
        <f t="shared" si="24"/>
        <v>Onion</v>
      </c>
      <c r="B144" s="184">
        <f t="shared" ref="B144:H153" si="25">B92-(B92*$G$7)</f>
        <v>0</v>
      </c>
      <c r="C144" s="184">
        <f t="shared" si="25"/>
        <v>0</v>
      </c>
      <c r="D144" s="184">
        <f t="shared" si="25"/>
        <v>0</v>
      </c>
      <c r="E144" s="184">
        <f t="shared" si="25"/>
        <v>0</v>
      </c>
      <c r="F144" s="184">
        <f t="shared" si="25"/>
        <v>0</v>
      </c>
      <c r="G144" s="184">
        <f t="shared" si="25"/>
        <v>0</v>
      </c>
      <c r="H144" s="184">
        <f t="shared" si="25"/>
        <v>0</v>
      </c>
    </row>
    <row r="145" spans="1:8" hidden="1" x14ac:dyDescent="0.35">
      <c r="A145" s="125" t="str">
        <f t="shared" si="24"/>
        <v>Tomato</v>
      </c>
      <c r="B145" s="184">
        <f t="shared" si="25"/>
        <v>0</v>
      </c>
      <c r="C145" s="184">
        <f t="shared" si="25"/>
        <v>0</v>
      </c>
      <c r="D145" s="184">
        <f t="shared" si="25"/>
        <v>0</v>
      </c>
      <c r="E145" s="184">
        <f t="shared" si="25"/>
        <v>0</v>
      </c>
      <c r="F145" s="184">
        <f t="shared" si="25"/>
        <v>0</v>
      </c>
      <c r="G145" s="184">
        <f t="shared" si="25"/>
        <v>0</v>
      </c>
      <c r="H145" s="184">
        <f t="shared" si="25"/>
        <v>0</v>
      </c>
    </row>
    <row r="146" spans="1:8" hidden="1" x14ac:dyDescent="0.35">
      <c r="A146" s="125" t="str">
        <f t="shared" si="24"/>
        <v>Okra</v>
      </c>
      <c r="B146" s="184">
        <f t="shared" si="25"/>
        <v>0</v>
      </c>
      <c r="C146" s="184">
        <f t="shared" si="25"/>
        <v>0</v>
      </c>
      <c r="D146" s="184">
        <f t="shared" si="25"/>
        <v>0</v>
      </c>
      <c r="E146" s="184">
        <f t="shared" si="25"/>
        <v>0</v>
      </c>
      <c r="F146" s="184">
        <f t="shared" si="25"/>
        <v>0</v>
      </c>
      <c r="G146" s="184">
        <f t="shared" si="25"/>
        <v>0</v>
      </c>
      <c r="H146" s="184">
        <f t="shared" si="25"/>
        <v>0</v>
      </c>
    </row>
    <row r="147" spans="1:8" hidden="1" x14ac:dyDescent="0.35">
      <c r="A147" s="125" t="str">
        <f t="shared" si="24"/>
        <v>Chilli</v>
      </c>
      <c r="B147" s="184">
        <f t="shared" si="25"/>
        <v>0</v>
      </c>
      <c r="C147" s="184">
        <f t="shared" si="25"/>
        <v>0</v>
      </c>
      <c r="D147" s="184">
        <f t="shared" si="25"/>
        <v>0</v>
      </c>
      <c r="E147" s="184">
        <f t="shared" si="25"/>
        <v>0</v>
      </c>
      <c r="F147" s="184">
        <f t="shared" si="25"/>
        <v>0</v>
      </c>
      <c r="G147" s="184">
        <f t="shared" si="25"/>
        <v>0</v>
      </c>
      <c r="H147" s="184">
        <f t="shared" si="25"/>
        <v>0</v>
      </c>
    </row>
    <row r="148" spans="1:8" hidden="1" x14ac:dyDescent="0.35">
      <c r="A148" s="125" t="str">
        <f t="shared" si="24"/>
        <v>Potato</v>
      </c>
      <c r="B148" s="184">
        <f t="shared" si="25"/>
        <v>0</v>
      </c>
      <c r="C148" s="184">
        <f t="shared" si="25"/>
        <v>0</v>
      </c>
      <c r="D148" s="184">
        <f t="shared" si="25"/>
        <v>0</v>
      </c>
      <c r="E148" s="184">
        <f t="shared" si="25"/>
        <v>0</v>
      </c>
      <c r="F148" s="184">
        <f t="shared" si="25"/>
        <v>0</v>
      </c>
      <c r="G148" s="184">
        <f t="shared" si="25"/>
        <v>0</v>
      </c>
      <c r="H148" s="184">
        <f t="shared" si="25"/>
        <v>0</v>
      </c>
    </row>
    <row r="149" spans="1:8" hidden="1" x14ac:dyDescent="0.35">
      <c r="A149" s="125">
        <f t="shared" si="24"/>
        <v>0</v>
      </c>
      <c r="B149" s="184">
        <f t="shared" si="25"/>
        <v>0</v>
      </c>
      <c r="C149" s="184">
        <f t="shared" si="25"/>
        <v>0</v>
      </c>
      <c r="D149" s="184">
        <f t="shared" si="25"/>
        <v>0</v>
      </c>
      <c r="E149" s="184">
        <f t="shared" si="25"/>
        <v>0</v>
      </c>
      <c r="F149" s="184">
        <f t="shared" si="25"/>
        <v>0</v>
      </c>
      <c r="G149" s="184">
        <f t="shared" si="25"/>
        <v>0</v>
      </c>
      <c r="H149" s="184">
        <f t="shared" si="25"/>
        <v>0</v>
      </c>
    </row>
    <row r="150" spans="1:8" hidden="1" x14ac:dyDescent="0.35">
      <c r="A150" s="125">
        <f t="shared" si="24"/>
        <v>0</v>
      </c>
      <c r="B150" s="184">
        <f t="shared" si="25"/>
        <v>0</v>
      </c>
      <c r="C150" s="184">
        <f t="shared" si="25"/>
        <v>0</v>
      </c>
      <c r="D150" s="184">
        <f t="shared" si="25"/>
        <v>0</v>
      </c>
      <c r="E150" s="184">
        <f t="shared" si="25"/>
        <v>0</v>
      </c>
      <c r="F150" s="184">
        <f t="shared" si="25"/>
        <v>0</v>
      </c>
      <c r="G150" s="184">
        <f t="shared" si="25"/>
        <v>0</v>
      </c>
      <c r="H150" s="184">
        <f t="shared" si="25"/>
        <v>0</v>
      </c>
    </row>
    <row r="151" spans="1:8" hidden="1" x14ac:dyDescent="0.35">
      <c r="A151" s="125">
        <f t="shared" si="24"/>
        <v>0</v>
      </c>
      <c r="B151" s="184">
        <f t="shared" si="25"/>
        <v>0</v>
      </c>
      <c r="C151" s="184">
        <f t="shared" si="25"/>
        <v>0</v>
      </c>
      <c r="D151" s="184">
        <f t="shared" si="25"/>
        <v>0</v>
      </c>
      <c r="E151" s="184">
        <f t="shared" si="25"/>
        <v>0</v>
      </c>
      <c r="F151" s="184">
        <f t="shared" si="25"/>
        <v>0</v>
      </c>
      <c r="G151" s="184">
        <f t="shared" si="25"/>
        <v>0</v>
      </c>
      <c r="H151" s="184">
        <f t="shared" si="25"/>
        <v>0</v>
      </c>
    </row>
    <row r="152" spans="1:8" hidden="1" x14ac:dyDescent="0.35">
      <c r="A152" s="125">
        <f t="shared" si="24"/>
        <v>0</v>
      </c>
      <c r="B152" s="184">
        <f t="shared" si="25"/>
        <v>0</v>
      </c>
      <c r="C152" s="184">
        <f t="shared" si="25"/>
        <v>0</v>
      </c>
      <c r="D152" s="184">
        <f t="shared" si="25"/>
        <v>0</v>
      </c>
      <c r="E152" s="184">
        <f t="shared" si="25"/>
        <v>0</v>
      </c>
      <c r="F152" s="184">
        <f t="shared" si="25"/>
        <v>0</v>
      </c>
      <c r="G152" s="184">
        <f t="shared" si="25"/>
        <v>0</v>
      </c>
      <c r="H152" s="184">
        <f t="shared" si="25"/>
        <v>0</v>
      </c>
    </row>
    <row r="153" spans="1:8" hidden="1" x14ac:dyDescent="0.35">
      <c r="A153" s="125" t="str">
        <f t="shared" si="24"/>
        <v>Onion</v>
      </c>
      <c r="B153" s="184">
        <f t="shared" si="25"/>
        <v>0</v>
      </c>
      <c r="C153" s="184">
        <f t="shared" si="25"/>
        <v>0</v>
      </c>
      <c r="D153" s="184">
        <f t="shared" si="25"/>
        <v>0</v>
      </c>
      <c r="E153" s="184">
        <f t="shared" si="25"/>
        <v>0</v>
      </c>
      <c r="F153" s="184">
        <f t="shared" si="25"/>
        <v>0</v>
      </c>
      <c r="G153" s="184">
        <f t="shared" si="25"/>
        <v>0</v>
      </c>
      <c r="H153" s="184">
        <f t="shared" si="25"/>
        <v>0</v>
      </c>
    </row>
    <row r="154" spans="1:8" hidden="1" x14ac:dyDescent="0.35">
      <c r="A154" s="125" t="str">
        <f t="shared" si="24"/>
        <v>Tomato</v>
      </c>
      <c r="B154" s="184">
        <f t="shared" ref="B154:H161" si="26">B102-(B102*$G$7)</f>
        <v>0</v>
      </c>
      <c r="C154" s="184">
        <f t="shared" si="26"/>
        <v>0</v>
      </c>
      <c r="D154" s="184">
        <f t="shared" si="26"/>
        <v>0</v>
      </c>
      <c r="E154" s="184">
        <f t="shared" si="26"/>
        <v>0</v>
      </c>
      <c r="F154" s="184">
        <f t="shared" si="26"/>
        <v>0</v>
      </c>
      <c r="G154" s="184">
        <f t="shared" si="26"/>
        <v>0</v>
      </c>
      <c r="H154" s="184">
        <f t="shared" si="26"/>
        <v>0</v>
      </c>
    </row>
    <row r="155" spans="1:8" hidden="1" x14ac:dyDescent="0.35">
      <c r="A155" s="125" t="str">
        <f t="shared" si="24"/>
        <v>Okra</v>
      </c>
      <c r="B155" s="184">
        <f t="shared" si="26"/>
        <v>0</v>
      </c>
      <c r="C155" s="184">
        <f t="shared" si="26"/>
        <v>0</v>
      </c>
      <c r="D155" s="184">
        <f t="shared" si="26"/>
        <v>0</v>
      </c>
      <c r="E155" s="184">
        <f t="shared" si="26"/>
        <v>0</v>
      </c>
      <c r="F155" s="184">
        <f t="shared" si="26"/>
        <v>0</v>
      </c>
      <c r="G155" s="184">
        <f t="shared" si="26"/>
        <v>0</v>
      </c>
      <c r="H155" s="184">
        <f t="shared" si="26"/>
        <v>0</v>
      </c>
    </row>
    <row r="156" spans="1:8" hidden="1" x14ac:dyDescent="0.35">
      <c r="A156" s="125" t="str">
        <f t="shared" si="24"/>
        <v>Chilli</v>
      </c>
      <c r="B156" s="184">
        <f t="shared" si="26"/>
        <v>0</v>
      </c>
      <c r="C156" s="184">
        <f t="shared" si="26"/>
        <v>0</v>
      </c>
      <c r="D156" s="184">
        <f t="shared" si="26"/>
        <v>0</v>
      </c>
      <c r="E156" s="184">
        <f t="shared" si="26"/>
        <v>0</v>
      </c>
      <c r="F156" s="184">
        <f t="shared" si="26"/>
        <v>0</v>
      </c>
      <c r="G156" s="184">
        <f t="shared" si="26"/>
        <v>0</v>
      </c>
      <c r="H156" s="184">
        <f t="shared" si="26"/>
        <v>0</v>
      </c>
    </row>
    <row r="157" spans="1:8" hidden="1" x14ac:dyDescent="0.35">
      <c r="A157" s="125" t="str">
        <f t="shared" si="24"/>
        <v>Brinjal</v>
      </c>
      <c r="B157" s="184">
        <f t="shared" si="26"/>
        <v>0</v>
      </c>
      <c r="C157" s="184">
        <f t="shared" si="26"/>
        <v>0</v>
      </c>
      <c r="D157" s="184">
        <f t="shared" si="26"/>
        <v>0</v>
      </c>
      <c r="E157" s="184">
        <f t="shared" si="26"/>
        <v>0</v>
      </c>
      <c r="F157" s="184">
        <f t="shared" si="26"/>
        <v>0</v>
      </c>
      <c r="G157" s="184">
        <f t="shared" si="26"/>
        <v>0</v>
      </c>
      <c r="H157" s="184">
        <f t="shared" si="26"/>
        <v>0</v>
      </c>
    </row>
    <row r="158" spans="1:8" hidden="1" x14ac:dyDescent="0.35">
      <c r="A158" s="125">
        <f t="shared" si="24"/>
        <v>0</v>
      </c>
      <c r="B158" s="184">
        <f t="shared" si="26"/>
        <v>0</v>
      </c>
      <c r="C158" s="184">
        <f t="shared" si="26"/>
        <v>0</v>
      </c>
      <c r="D158" s="184">
        <f t="shared" si="26"/>
        <v>0</v>
      </c>
      <c r="E158" s="184">
        <f t="shared" si="26"/>
        <v>0</v>
      </c>
      <c r="F158" s="184">
        <f t="shared" si="26"/>
        <v>0</v>
      </c>
      <c r="G158" s="184">
        <f t="shared" si="26"/>
        <v>0</v>
      </c>
      <c r="H158" s="184">
        <f t="shared" si="26"/>
        <v>0</v>
      </c>
    </row>
    <row r="159" spans="1:8" hidden="1" x14ac:dyDescent="0.35">
      <c r="A159" s="125">
        <f t="shared" si="24"/>
        <v>0</v>
      </c>
      <c r="B159" s="184">
        <f t="shared" si="26"/>
        <v>0</v>
      </c>
      <c r="C159" s="184">
        <f t="shared" si="26"/>
        <v>0</v>
      </c>
      <c r="D159" s="184">
        <f t="shared" si="26"/>
        <v>0</v>
      </c>
      <c r="E159" s="184">
        <f t="shared" si="26"/>
        <v>0</v>
      </c>
      <c r="F159" s="184">
        <f t="shared" si="26"/>
        <v>0</v>
      </c>
      <c r="G159" s="184">
        <f t="shared" si="26"/>
        <v>0</v>
      </c>
      <c r="H159" s="184">
        <f t="shared" si="26"/>
        <v>0</v>
      </c>
    </row>
    <row r="160" spans="1:8" hidden="1" x14ac:dyDescent="0.35">
      <c r="A160" s="125">
        <f t="shared" si="24"/>
        <v>0</v>
      </c>
      <c r="B160" s="184">
        <f t="shared" si="26"/>
        <v>0</v>
      </c>
      <c r="C160" s="184">
        <f t="shared" si="26"/>
        <v>0</v>
      </c>
      <c r="D160" s="184">
        <f t="shared" si="26"/>
        <v>0</v>
      </c>
      <c r="E160" s="184">
        <f t="shared" si="26"/>
        <v>0</v>
      </c>
      <c r="F160" s="184">
        <f t="shared" si="26"/>
        <v>0</v>
      </c>
      <c r="G160" s="184">
        <f t="shared" si="26"/>
        <v>0</v>
      </c>
      <c r="H160" s="184">
        <f t="shared" si="26"/>
        <v>0</v>
      </c>
    </row>
    <row r="161" spans="1:10" hidden="1" x14ac:dyDescent="0.35">
      <c r="A161" s="125">
        <f t="shared" si="24"/>
        <v>0</v>
      </c>
      <c r="B161" s="184">
        <f t="shared" si="26"/>
        <v>0</v>
      </c>
      <c r="C161" s="184">
        <f t="shared" si="26"/>
        <v>0</v>
      </c>
      <c r="D161" s="184">
        <f t="shared" si="26"/>
        <v>0</v>
      </c>
      <c r="E161" s="184">
        <f t="shared" si="26"/>
        <v>0</v>
      </c>
      <c r="F161" s="184">
        <f t="shared" si="26"/>
        <v>0</v>
      </c>
      <c r="G161" s="184">
        <f t="shared" si="26"/>
        <v>0</v>
      </c>
      <c r="H161" s="184">
        <f t="shared" si="26"/>
        <v>0</v>
      </c>
    </row>
    <row r="162" spans="1:10" hidden="1" x14ac:dyDescent="0.35">
      <c r="A162" s="125">
        <f t="shared" ref="A162:A165" si="27">A110</f>
        <v>0</v>
      </c>
      <c r="B162" s="184">
        <f t="shared" ref="B162:H162" si="28">B110-(B110*$G$7)</f>
        <v>0</v>
      </c>
      <c r="C162" s="184">
        <f t="shared" si="28"/>
        <v>0</v>
      </c>
      <c r="D162" s="184">
        <f t="shared" si="28"/>
        <v>0</v>
      </c>
      <c r="E162" s="184">
        <f t="shared" si="28"/>
        <v>0</v>
      </c>
      <c r="F162" s="184">
        <f t="shared" si="28"/>
        <v>0</v>
      </c>
      <c r="G162" s="184">
        <f t="shared" si="28"/>
        <v>0</v>
      </c>
      <c r="H162" s="184">
        <f t="shared" si="28"/>
        <v>0</v>
      </c>
    </row>
    <row r="163" spans="1:10" hidden="1" x14ac:dyDescent="0.35">
      <c r="A163" s="125">
        <f t="shared" si="27"/>
        <v>0</v>
      </c>
      <c r="B163" s="184">
        <f t="shared" ref="B163:H163" si="29">B111-(B111*$G$7)</f>
        <v>0</v>
      </c>
      <c r="C163" s="184">
        <f t="shared" si="29"/>
        <v>0</v>
      </c>
      <c r="D163" s="184">
        <f t="shared" si="29"/>
        <v>0</v>
      </c>
      <c r="E163" s="184">
        <f t="shared" si="29"/>
        <v>0</v>
      </c>
      <c r="F163" s="184">
        <f t="shared" si="29"/>
        <v>0</v>
      </c>
      <c r="G163" s="184">
        <f t="shared" si="29"/>
        <v>0</v>
      </c>
      <c r="H163" s="184">
        <f t="shared" si="29"/>
        <v>0</v>
      </c>
    </row>
    <row r="164" spans="1:10" hidden="1" x14ac:dyDescent="0.35">
      <c r="A164" s="125">
        <f t="shared" si="27"/>
        <v>0</v>
      </c>
      <c r="B164" s="184">
        <f t="shared" ref="B164:H165" si="30">B112-(B112*$G$7)</f>
        <v>0</v>
      </c>
      <c r="C164" s="184">
        <f t="shared" si="30"/>
        <v>0</v>
      </c>
      <c r="D164" s="184">
        <f t="shared" si="30"/>
        <v>0</v>
      </c>
      <c r="E164" s="184">
        <f t="shared" si="30"/>
        <v>0</v>
      </c>
      <c r="F164" s="184">
        <f t="shared" si="30"/>
        <v>0</v>
      </c>
      <c r="G164" s="184">
        <f t="shared" si="30"/>
        <v>0</v>
      </c>
      <c r="H164" s="184">
        <f t="shared" si="30"/>
        <v>0</v>
      </c>
    </row>
    <row r="165" spans="1:10" hidden="1" x14ac:dyDescent="0.35">
      <c r="A165" s="125" t="str">
        <f t="shared" si="27"/>
        <v>Pomegranate</v>
      </c>
      <c r="B165" s="184">
        <f t="shared" si="30"/>
        <v>0</v>
      </c>
      <c r="C165" s="184">
        <f t="shared" ref="C165:H168" si="31">C113-(C113*$G$7)</f>
        <v>0</v>
      </c>
      <c r="D165" s="184">
        <f t="shared" si="31"/>
        <v>0</v>
      </c>
      <c r="E165" s="184">
        <f t="shared" si="31"/>
        <v>0</v>
      </c>
      <c r="F165" s="184">
        <f t="shared" si="31"/>
        <v>0</v>
      </c>
      <c r="G165" s="184">
        <f t="shared" si="31"/>
        <v>0</v>
      </c>
      <c r="H165" s="184">
        <f t="shared" si="31"/>
        <v>0</v>
      </c>
    </row>
    <row r="166" spans="1:10" hidden="1" x14ac:dyDescent="0.35">
      <c r="A166" s="125" t="str">
        <f>A114</f>
        <v>Custard Apple</v>
      </c>
      <c r="B166" s="184">
        <f>B114-(B114*$G$7)</f>
        <v>0</v>
      </c>
      <c r="C166" s="184">
        <f t="shared" si="31"/>
        <v>0</v>
      </c>
      <c r="D166" s="184">
        <f t="shared" si="31"/>
        <v>0</v>
      </c>
      <c r="E166" s="184">
        <f t="shared" si="31"/>
        <v>0</v>
      </c>
      <c r="F166" s="184">
        <f t="shared" si="31"/>
        <v>0</v>
      </c>
      <c r="G166" s="184">
        <f t="shared" si="31"/>
        <v>0</v>
      </c>
      <c r="H166" s="184">
        <f t="shared" si="31"/>
        <v>0</v>
      </c>
    </row>
    <row r="167" spans="1:10" hidden="1" x14ac:dyDescent="0.35">
      <c r="A167" s="125" t="str">
        <f>A115</f>
        <v>Guava</v>
      </c>
      <c r="B167" s="184">
        <f>B115-(B115*$G$7)</f>
        <v>0</v>
      </c>
      <c r="C167" s="184">
        <f t="shared" si="31"/>
        <v>0</v>
      </c>
      <c r="D167" s="184">
        <f t="shared" si="31"/>
        <v>0</v>
      </c>
      <c r="E167" s="184">
        <f t="shared" si="31"/>
        <v>0</v>
      </c>
      <c r="F167" s="184">
        <f t="shared" si="31"/>
        <v>0</v>
      </c>
      <c r="G167" s="184">
        <f t="shared" si="31"/>
        <v>0</v>
      </c>
      <c r="H167" s="184">
        <f t="shared" si="31"/>
        <v>0</v>
      </c>
    </row>
    <row r="168" spans="1:10" hidden="1" x14ac:dyDescent="0.35">
      <c r="A168" s="125" t="str">
        <f>A116</f>
        <v>Citrus</v>
      </c>
      <c r="B168" s="184">
        <f>B116-(B116*$G$7)</f>
        <v>0</v>
      </c>
      <c r="C168" s="184">
        <f t="shared" si="31"/>
        <v>0</v>
      </c>
      <c r="D168" s="184">
        <f t="shared" si="31"/>
        <v>0</v>
      </c>
      <c r="E168" s="184">
        <f t="shared" si="31"/>
        <v>0</v>
      </c>
      <c r="F168" s="184">
        <f t="shared" si="31"/>
        <v>0</v>
      </c>
      <c r="G168" s="184">
        <f t="shared" si="31"/>
        <v>0</v>
      </c>
      <c r="H168" s="184">
        <f t="shared" si="31"/>
        <v>0</v>
      </c>
    </row>
    <row r="169" spans="1:10" x14ac:dyDescent="0.35">
      <c r="A169" s="169"/>
    </row>
    <row r="170" spans="1:10" x14ac:dyDescent="0.35">
      <c r="A170" s="423" t="s">
        <v>567</v>
      </c>
      <c r="B170" s="423"/>
      <c r="C170" s="423"/>
      <c r="D170" s="423"/>
      <c r="E170" s="423"/>
      <c r="F170" s="423"/>
      <c r="G170" s="423"/>
      <c r="H170" s="423"/>
      <c r="I170" s="423"/>
      <c r="J170" s="423"/>
    </row>
    <row r="171" spans="1:10" x14ac:dyDescent="0.35">
      <c r="A171" s="192"/>
      <c r="B171" s="192"/>
      <c r="C171" s="192"/>
      <c r="D171" s="192"/>
      <c r="E171" s="192"/>
      <c r="F171" s="192"/>
      <c r="G171" s="192"/>
      <c r="H171" s="192"/>
    </row>
    <row r="172" spans="1:10" x14ac:dyDescent="0.35">
      <c r="A172" s="192"/>
      <c r="B172" s="192"/>
      <c r="C172" s="192"/>
      <c r="D172" s="193">
        <v>1</v>
      </c>
      <c r="E172" s="194">
        <f>(D172*5%)+D172</f>
        <v>1.05</v>
      </c>
      <c r="F172" s="194">
        <f t="shared" ref="F172:J172" si="32">(E172*5%)+E172</f>
        <v>1.1025</v>
      </c>
      <c r="G172" s="194">
        <f t="shared" si="32"/>
        <v>1.1576250000000001</v>
      </c>
      <c r="H172" s="194">
        <f t="shared" si="32"/>
        <v>1.2155062500000002</v>
      </c>
      <c r="I172" s="194">
        <f t="shared" si="32"/>
        <v>1.2762815625000004</v>
      </c>
      <c r="J172" s="194">
        <f t="shared" si="32"/>
        <v>1.3400956406250004</v>
      </c>
    </row>
    <row r="174" spans="1:10" x14ac:dyDescent="0.35">
      <c r="D174" s="108"/>
      <c r="E174" s="108"/>
      <c r="F174" s="108"/>
      <c r="G174" s="108"/>
      <c r="H174" s="108"/>
      <c r="I174" s="108"/>
      <c r="J174" s="108"/>
    </row>
    <row r="175" spans="1:10" x14ac:dyDescent="0.35">
      <c r="A175" s="181" t="s">
        <v>0</v>
      </c>
      <c r="B175" s="181"/>
      <c r="C175" s="181" t="s">
        <v>149</v>
      </c>
      <c r="D175" s="195" t="s">
        <v>2</v>
      </c>
      <c r="E175" s="195" t="s">
        <v>3</v>
      </c>
      <c r="F175" s="195" t="s">
        <v>4</v>
      </c>
      <c r="G175" s="195" t="s">
        <v>5</v>
      </c>
      <c r="H175" s="195" t="s">
        <v>6</v>
      </c>
      <c r="I175" s="195" t="s">
        <v>165</v>
      </c>
      <c r="J175" s="195" t="s">
        <v>164</v>
      </c>
    </row>
    <row r="176" spans="1:10" x14ac:dyDescent="0.35">
      <c r="A176" s="116"/>
      <c r="B176" s="116"/>
      <c r="C176" s="116"/>
      <c r="D176" s="112"/>
      <c r="E176" s="112"/>
      <c r="F176" s="112"/>
      <c r="G176" s="112"/>
      <c r="H176" s="112"/>
      <c r="I176" s="112"/>
      <c r="J176" s="112"/>
    </row>
    <row r="177" spans="1:10" x14ac:dyDescent="0.35">
      <c r="A177" s="116" t="s">
        <v>126</v>
      </c>
      <c r="B177" s="116"/>
      <c r="C177" s="116"/>
      <c r="D177" s="112"/>
      <c r="E177" s="112"/>
      <c r="F177" s="112"/>
      <c r="G177" s="112"/>
      <c r="H177" s="112"/>
      <c r="I177" s="112"/>
      <c r="J177" s="112"/>
    </row>
    <row r="178" spans="1:10" x14ac:dyDescent="0.35">
      <c r="A178" s="112" t="str">
        <f t="shared" ref="A178:A198" si="33">A120</f>
        <v>Soybean</v>
      </c>
      <c r="B178" s="112" t="s">
        <v>355</v>
      </c>
      <c r="C178" s="179">
        <v>6700</v>
      </c>
      <c r="D178" s="196">
        <f>(B120*(1-'5.Closing Stock &amp; W Capital'!$D$15))*C$178*D172</f>
        <v>41337348.085687496</v>
      </c>
      <c r="E178" s="196">
        <f>((C120*(1-'5.Closing Stock &amp; W Capital'!$D$15))+(B120*'5.Closing Stock &amp; W Capital'!$D$15))*$C178*E$172</f>
        <v>48630437.355090946</v>
      </c>
      <c r="F178" s="196">
        <f>((D120*(1-'5.Closing Stock &amp; W Capital'!$D$15))+(C120*'5.Closing Stock &amp; W Capital'!$D$15))*$C178*F$172</f>
        <v>55712410.882485338</v>
      </c>
      <c r="G178" s="196">
        <f>((E120*(1-'5.Closing Stock &amp; W Capital'!$D$15))+(D120*'5.Closing Stock &amp; W Capital'!$D$15))*$C178*G$172</f>
        <v>63381005.669231452</v>
      </c>
      <c r="H178" s="196">
        <f>((F120*(1-'5.Closing Stock &amp; W Capital'!$D$15))+(E120*'5.Closing Stock &amp; W Capital'!$D$15))*$C178*H$172</f>
        <v>71677178.907445952</v>
      </c>
      <c r="I178" s="196">
        <f>((G120*(1-'5.Closing Stock &amp; W Capital'!$D$15))+(F120*'5.Closing Stock &amp; W Capital'!$D$15))*$C178*I$172</f>
        <v>80644516.955308855</v>
      </c>
      <c r="J178" s="196">
        <f>((H120*(1-'5.Closing Stock &amp; W Capital'!$D$15))+(G120*'5.Closing Stock &amp; W Capital'!$D$15))*$C178*J$172</f>
        <v>90329395.860689387</v>
      </c>
    </row>
    <row r="179" spans="1:10" x14ac:dyDescent="0.35">
      <c r="A179" s="112" t="str">
        <f t="shared" si="33"/>
        <v>Tur</v>
      </c>
      <c r="B179" s="112" t="s">
        <v>355</v>
      </c>
      <c r="C179" s="179">
        <v>7000</v>
      </c>
      <c r="D179" s="196">
        <f>(B121*(1-'5.Closing Stock &amp; W Capital'!$D$15))*$C179*D$172</f>
        <v>5525772.44625</v>
      </c>
      <c r="E179" s="196">
        <f>((C121*(1-'5.Closing Stock &amp; W Capital'!$D$15))+(B121*'5.Closing Stock &amp; W Capital'!$D$15))*$C179*E$172</f>
        <v>6500676.5849812506</v>
      </c>
      <c r="F179" s="196">
        <f>((D121*(1-'5.Closing Stock &amp; W Capital'!$D$15))+(C121*'5.Closing Stock &amp; W Capital'!$D$15))*$C179*F$172</f>
        <v>7447359.8144334387</v>
      </c>
      <c r="G179" s="196">
        <f>((E121*(1-'5.Closing Stock &amp; W Capital'!$D$15))+(D121*'5.Closing Stock &amp; W Capital'!$D$15))*$C179*G$172</f>
        <v>8472459.675368391</v>
      </c>
      <c r="H179" s="196">
        <f>((F121*(1-'5.Closing Stock &amp; W Capital'!$D$15))+(E121*'5.Closing Stock &amp; W Capital'!$D$15))*$C179*H$172</f>
        <v>9581451.1228607595</v>
      </c>
      <c r="I179" s="196">
        <f>((G121*(1-'5.Closing Stock &amp; W Capital'!$D$15))+(F121*'5.Closing Stock &amp; W Capital'!$D$15))*$C179*I$172</f>
        <v>10780160.565913944</v>
      </c>
      <c r="J179" s="196">
        <f>((H121*(1-'5.Closing Stock &amp; W Capital'!$D$15))+(G121*'5.Closing Stock &amp; W Capital'!$D$15))*$C179*J$172</f>
        <v>12074787.325465292</v>
      </c>
    </row>
    <row r="180" spans="1:10" hidden="1" x14ac:dyDescent="0.35">
      <c r="A180" s="112" t="str">
        <f t="shared" si="33"/>
        <v>Turmeric</v>
      </c>
      <c r="B180" s="112" t="s">
        <v>355</v>
      </c>
      <c r="C180" s="179">
        <v>0</v>
      </c>
      <c r="D180" s="196">
        <f>(B122*(1-'5.Closing Stock &amp; W Capital'!$D$15))*$C180*D$172</f>
        <v>0</v>
      </c>
      <c r="E180" s="196">
        <f>((C122*(1-'5.Closing Stock &amp; W Capital'!$D$15))+(B122*'5.Closing Stock &amp; W Capital'!$D$15))*$C180*E$172</f>
        <v>0</v>
      </c>
      <c r="F180" s="196">
        <f>((D122*(1-'5.Closing Stock &amp; W Capital'!$D$15))+(C122*'5.Closing Stock &amp; W Capital'!$D$15))*$C180*F$172</f>
        <v>0</v>
      </c>
      <c r="G180" s="196">
        <f>((E122*(1-'5.Closing Stock &amp; W Capital'!$D$15))+(D122*'5.Closing Stock &amp; W Capital'!$D$15))*$C180*G$172</f>
        <v>0</v>
      </c>
      <c r="H180" s="196">
        <f>((F122*(1-'5.Closing Stock &amp; W Capital'!$D$15))+(E122*'5.Closing Stock &amp; W Capital'!$D$15))*$C180*H$172</f>
        <v>0</v>
      </c>
      <c r="I180" s="196">
        <f>((G122*(1-'5.Closing Stock &amp; W Capital'!$D$15))+(F122*'5.Closing Stock &amp; W Capital'!$D$15))*$C180*I$172</f>
        <v>0</v>
      </c>
      <c r="J180" s="196">
        <f>((H122*(1-'5.Closing Stock &amp; W Capital'!$D$15))+(G122*'5.Closing Stock &amp; W Capital'!$D$15))*$C180*J$172</f>
        <v>0</v>
      </c>
    </row>
    <row r="181" spans="1:10" x14ac:dyDescent="0.35">
      <c r="A181" s="112" t="str">
        <f t="shared" si="33"/>
        <v>Moong</v>
      </c>
      <c r="B181" s="112" t="s">
        <v>355</v>
      </c>
      <c r="C181" s="179">
        <v>5800</v>
      </c>
      <c r="D181" s="196">
        <f>(B123*(1-'5.Closing Stock &amp; W Capital'!$D$15))*$C181*D$172</f>
        <v>2385637.9989749999</v>
      </c>
      <c r="E181" s="196">
        <f>((C123*(1-'5.Closing Stock &amp; W Capital'!$D$15))+(B123*'5.Closing Stock &amp; W Capital'!$D$15))*$C181*E$172</f>
        <v>2806532.7030798756</v>
      </c>
      <c r="F181" s="196">
        <f>((D123*(1-'5.Closing Stock &amp; W Capital'!$D$15))+(C123*'5.Closing Stock &amp; W Capital'!$D$15))*$C181*F$172</f>
        <v>3215243.6131185563</v>
      </c>
      <c r="G181" s="196">
        <f>((E123*(1-'5.Closing Stock &amp; W Capital'!$D$15))+(D123*'5.Closing Stock &amp; W Capital'!$D$15))*$C181*G$172</f>
        <v>3657809.2824034072</v>
      </c>
      <c r="H181" s="196">
        <f>((F123*(1-'5.Closing Stock &amp; W Capital'!$D$15))+(E123*'5.Closing Stock &amp; W Capital'!$D$15))*$C181*H$172</f>
        <v>4136593.4095839462</v>
      </c>
      <c r="I181" s="196">
        <f>((G123*(1-'5.Closing Stock &amp; W Capital'!$D$15))+(F123*'5.Closing Stock &amp; W Capital'!$D$15))*$C181*I$172</f>
        <v>4654111.4262765301</v>
      </c>
      <c r="J181" s="196">
        <f>((H123*(1-'5.Closing Stock &amp; W Capital'!$D$15))+(G123*'5.Closing Stock &amp; W Capital'!$D$15))*$C181*J$172</f>
        <v>5213039.7611144129</v>
      </c>
    </row>
    <row r="182" spans="1:10" hidden="1" x14ac:dyDescent="0.35">
      <c r="A182" s="112" t="str">
        <f t="shared" si="33"/>
        <v>Maize</v>
      </c>
      <c r="B182" s="112" t="s">
        <v>355</v>
      </c>
      <c r="C182" s="179">
        <v>0</v>
      </c>
      <c r="D182" s="196">
        <f>(B124*(1-'5.Closing Stock &amp; W Capital'!$D$15))*$C182*D$172</f>
        <v>0</v>
      </c>
      <c r="E182" s="196">
        <f>((C124*(1-'5.Closing Stock &amp; W Capital'!$D$15))+(B124*'5.Closing Stock &amp; W Capital'!$D$15))*$C182*E$172</f>
        <v>0</v>
      </c>
      <c r="F182" s="196">
        <f>((D124*(1-'5.Closing Stock &amp; W Capital'!$D$15))+(C124*'5.Closing Stock &amp; W Capital'!$D$15))*$C182*F$172</f>
        <v>0</v>
      </c>
      <c r="G182" s="196">
        <f>((E124*(1-'5.Closing Stock &amp; W Capital'!$D$15))+(D124*'5.Closing Stock &amp; W Capital'!$D$15))*$C182*G$172</f>
        <v>0</v>
      </c>
      <c r="H182" s="196">
        <f>((F124*(1-'5.Closing Stock &amp; W Capital'!$D$15))+(E124*'5.Closing Stock &amp; W Capital'!$D$15))*$C182*H$172</f>
        <v>0</v>
      </c>
      <c r="I182" s="196">
        <f>((G124*(1-'5.Closing Stock &amp; W Capital'!$D$15))+(F124*'5.Closing Stock &amp; W Capital'!$D$15))*$C182*I$172</f>
        <v>0</v>
      </c>
      <c r="J182" s="196">
        <f>((H124*(1-'5.Closing Stock &amp; W Capital'!$D$15))+(G124*'5.Closing Stock &amp; W Capital'!$D$15))*$C182*J$172</f>
        <v>0</v>
      </c>
    </row>
    <row r="183" spans="1:10" x14ac:dyDescent="0.35">
      <c r="A183" s="112" t="str">
        <f t="shared" si="33"/>
        <v>Udid</v>
      </c>
      <c r="B183" s="112" t="s">
        <v>355</v>
      </c>
      <c r="C183" s="179">
        <v>6000</v>
      </c>
      <c r="D183" s="196">
        <f>(B125*(1-'5.Closing Stock &amp; W Capital'!$D$15))*$C183*D$172</f>
        <v>2467901.3782499996</v>
      </c>
      <c r="E183" s="196">
        <f>((C125*(1-'5.Closing Stock &amp; W Capital'!$D$15))+(B125*'5.Closing Stock &amp; W Capital'!$D$15))*$C183*E$172</f>
        <v>2903309.6928412504</v>
      </c>
      <c r="F183" s="196">
        <f>((D125*(1-'5.Closing Stock &amp; W Capital'!$D$15))+(C125*'5.Closing Stock &amp; W Capital'!$D$15))*$C183*F$172</f>
        <v>3326114.0825364375</v>
      </c>
      <c r="G183" s="196">
        <f>((E125*(1-'5.Closing Stock &amp; W Capital'!$D$15))+(D125*'5.Closing Stock &amp; W Capital'!$D$15))*$C183*G$172</f>
        <v>3783940.636969042</v>
      </c>
      <c r="H183" s="196">
        <f>((F125*(1-'5.Closing Stock &amp; W Capital'!$D$15))+(E125*'5.Closing Stock &amp; W Capital'!$D$15))*$C183*H$172</f>
        <v>4279234.5616385648</v>
      </c>
      <c r="I183" s="196">
        <f>((G125*(1-'5.Closing Stock &amp; W Capital'!$D$15))+(F125*'5.Closing Stock &amp; W Capital'!$D$15))*$C183*I$172</f>
        <v>4814598.0271826172</v>
      </c>
      <c r="J183" s="196">
        <f>((H125*(1-'5.Closing Stock &amp; W Capital'!$D$15))+(G125*'5.Closing Stock &amp; W Capital'!$D$15))*$C183*J$172</f>
        <v>5392799.7528769793</v>
      </c>
    </row>
    <row r="184" spans="1:10" hidden="1" x14ac:dyDescent="0.35">
      <c r="A184" s="112" t="str">
        <f t="shared" si="33"/>
        <v>Bajra</v>
      </c>
      <c r="B184" s="112" t="s">
        <v>355</v>
      </c>
      <c r="C184" s="179">
        <v>0</v>
      </c>
      <c r="D184" s="196">
        <f>(B126*(1-'5.Closing Stock &amp; W Capital'!$D$15))*$C184*D$172</f>
        <v>0</v>
      </c>
      <c r="E184" s="196">
        <f>((C126*(1-'5.Closing Stock &amp; W Capital'!$D$15))+(B126*'5.Closing Stock &amp; W Capital'!$D$15))*$C184*E$172</f>
        <v>0</v>
      </c>
      <c r="F184" s="196">
        <f>((D126*(1-'5.Closing Stock &amp; W Capital'!$D$15))+(C126*'5.Closing Stock &amp; W Capital'!$D$15))*$C184*F$172</f>
        <v>0</v>
      </c>
      <c r="G184" s="196">
        <f>((E126*(1-'5.Closing Stock &amp; W Capital'!$D$15))+(D126*'5.Closing Stock &amp; W Capital'!$D$15))*$C184*G$172</f>
        <v>0</v>
      </c>
      <c r="H184" s="196">
        <f>((F126*(1-'5.Closing Stock &amp; W Capital'!$D$15))+(E126*'5.Closing Stock &amp; W Capital'!$D$15))*$C184*H$172</f>
        <v>0</v>
      </c>
      <c r="I184" s="196">
        <f>((G126*(1-'5.Closing Stock &amp; W Capital'!$D$15))+(F126*'5.Closing Stock &amp; W Capital'!$D$15))*$C184*I$172</f>
        <v>0</v>
      </c>
      <c r="J184" s="196">
        <f>((H126*(1-'5.Closing Stock &amp; W Capital'!$D$15))+(G126*'5.Closing Stock &amp; W Capital'!$D$15))*$C184*J$172</f>
        <v>0</v>
      </c>
    </row>
    <row r="185" spans="1:10" x14ac:dyDescent="0.35">
      <c r="A185" s="112" t="str">
        <f t="shared" si="33"/>
        <v>Jawar</v>
      </c>
      <c r="B185" s="112" t="s">
        <v>355</v>
      </c>
      <c r="C185" s="179">
        <v>3000</v>
      </c>
      <c r="D185" s="196">
        <f>(B127*(1-'5.Closing Stock &amp; W Capital'!$D$15))*$C185*D$172</f>
        <v>1209022.3923750001</v>
      </c>
      <c r="E185" s="196">
        <f>((C127*(1-'5.Closing Stock &amp; W Capital'!$D$15))+(B127*'5.Closing Stock &amp; W Capital'!$D$15))*$C185*E$172</f>
        <v>1422328.4858868753</v>
      </c>
      <c r="F185" s="196">
        <f>((D127*(1-'5.Closing Stock &amp; W Capital'!$D$15))+(C127*'5.Closing Stock &amp; W Capital'!$D$15))*$C185*F$172</f>
        <v>1629459.9293234067</v>
      </c>
      <c r="G185" s="196">
        <f>((E127*(1-'5.Closing Stock &amp; W Capital'!$D$15))+(D127*'5.Closing Stock &amp; W Capital'!$D$15))*$C185*G$172</f>
        <v>1853748.6958888741</v>
      </c>
      <c r="H185" s="196">
        <f>((F127*(1-'5.Closing Stock &amp; W Capital'!$D$15))+(E127*'5.Closing Stock &amp; W Capital'!$D$15))*$C185*H$172</f>
        <v>2096392.6892875803</v>
      </c>
      <c r="I185" s="196">
        <f>((G127*(1-'5.Closing Stock &amp; W Capital'!$D$15))+(F127*'5.Closing Stock &amp; W Capital'!$D$15))*$C185*I$172</f>
        <v>2358666.7102864343</v>
      </c>
      <c r="J185" s="196">
        <f>((H127*(1-'5.Closing Stock &amp; W Capital'!$D$15))+(G127*'5.Closing Stock &amp; W Capital'!$D$15))*$C185*J$172</f>
        <v>2641927.1516619548</v>
      </c>
    </row>
    <row r="186" spans="1:10" hidden="1" x14ac:dyDescent="0.35">
      <c r="A186" s="112">
        <f>A128</f>
        <v>0</v>
      </c>
      <c r="B186" s="112" t="s">
        <v>355</v>
      </c>
      <c r="C186" s="179">
        <v>0</v>
      </c>
      <c r="D186" s="196">
        <f>(B128*(1-'5.Closing Stock &amp; W Capital'!$D$15))*$C186*D$172</f>
        <v>0</v>
      </c>
      <c r="E186" s="196">
        <f>((C128*(1-'5.Closing Stock &amp; W Capital'!$D$15))+(B128*'5.Closing Stock &amp; W Capital'!$D$15))*$C186*E$172</f>
        <v>0</v>
      </c>
      <c r="F186" s="196">
        <f>((D128*(1-'5.Closing Stock &amp; W Capital'!$D$15))+(C128*'5.Closing Stock &amp; W Capital'!$D$15))*$C186*F$172</f>
        <v>0</v>
      </c>
      <c r="G186" s="196">
        <f>((E128*(1-'5.Closing Stock &amp; W Capital'!$D$15))+(D128*'5.Closing Stock &amp; W Capital'!$D$15))*$C186*G$172</f>
        <v>0</v>
      </c>
      <c r="H186" s="196">
        <f>((F128*(1-'5.Closing Stock &amp; W Capital'!$D$15))+(E128*'5.Closing Stock &amp; W Capital'!$D$15))*$C186*H$172</f>
        <v>0</v>
      </c>
      <c r="I186" s="196">
        <f>((G128*(1-'5.Closing Stock &amp; W Capital'!$D$15))+(F128*'5.Closing Stock &amp; W Capital'!$D$15))*$C186*I$172</f>
        <v>0</v>
      </c>
      <c r="J186" s="196">
        <f>((H128*(1-'5.Closing Stock &amp; W Capital'!$D$15))+(G128*'5.Closing Stock &amp; W Capital'!$D$15))*$C186*J$172</f>
        <v>0</v>
      </c>
    </row>
    <row r="187" spans="1:10" x14ac:dyDescent="0.35">
      <c r="A187" s="112" t="str">
        <f t="shared" si="33"/>
        <v>Wheat</v>
      </c>
      <c r="B187" s="112" t="s">
        <v>355</v>
      </c>
      <c r="C187" s="179">
        <v>2200</v>
      </c>
      <c r="D187" s="196">
        <f>(B129*(1-'5.Closing Stock &amp; W Capital'!$D$15))*$C187*D$172</f>
        <v>1786290.5213999997</v>
      </c>
      <c r="E187" s="196">
        <f>((C129*(1-'5.Closing Stock &amp; W Capital'!$D$15))+(B129*'5.Closing Stock &amp; W Capital'!$D$15))*$C187*E$172</f>
        <v>2101443.2062470005</v>
      </c>
      <c r="F187" s="196">
        <f>((D129*(1-'5.Closing Stock &amp; W Capital'!$D$15))+(C129*'5.Closing Stock &amp; W Capital'!$D$15))*$C187*F$172</f>
        <v>2407473.0502168499</v>
      </c>
      <c r="G187" s="196">
        <f>((E129*(1-'5.Closing Stock &amp; W Capital'!$D$15))+(D129*'5.Closing Stock &amp; W Capital'!$D$15))*$C187*G$172</f>
        <v>2738852.2705680686</v>
      </c>
      <c r="H187" s="196">
        <f>((F129*(1-'5.Closing Stock &amp; W Capital'!$D$15))+(E129*'5.Closing Stock &amp; W Capital'!$D$15))*$C187*H$172</f>
        <v>3097350.7303288658</v>
      </c>
      <c r="I187" s="196">
        <f>((G129*(1-'5.Closing Stock &amp; W Capital'!$D$15))+(F129*'5.Closing Stock &amp; W Capital'!$D$15))*$C187*I$172</f>
        <v>3484851.9053893224</v>
      </c>
      <c r="J187" s="196">
        <f>((H129*(1-'5.Closing Stock &amp; W Capital'!$D$15))+(G129*'5.Closing Stock &amp; W Capital'!$D$15))*$C187*J$172</f>
        <v>3903359.8211300052</v>
      </c>
    </row>
    <row r="188" spans="1:10" x14ac:dyDescent="0.35">
      <c r="A188" s="112" t="str">
        <f t="shared" si="33"/>
        <v>Channa</v>
      </c>
      <c r="B188" s="112" t="s">
        <v>355</v>
      </c>
      <c r="C188" s="179">
        <v>5500</v>
      </c>
      <c r="D188" s="196">
        <f>(B130*(1-'5.Closing Stock &amp; W Capital'!$D$15))*$C188*D$172</f>
        <v>15630042.062249999</v>
      </c>
      <c r="E188" s="196">
        <f>((C130*(1-'5.Closing Stock &amp; W Capital'!$D$15))+(B130*'5.Closing Stock &amp; W Capital'!$D$15))*$C188*E$172</f>
        <v>18387628.054661255</v>
      </c>
      <c r="F188" s="196">
        <f>((D130*(1-'5.Closing Stock &amp; W Capital'!$D$15))+(C130*'5.Closing Stock &amp; W Capital'!$D$15))*$C188*F$172</f>
        <v>21065389.189397443</v>
      </c>
      <c r="G188" s="196">
        <f>((E130*(1-'5.Closing Stock &amp; W Capital'!$D$15))+(D130*'5.Closing Stock &amp; W Capital'!$D$15))*$C188*G$172</f>
        <v>23964957.3674706</v>
      </c>
      <c r="H188" s="196">
        <f>((F130*(1-'5.Closing Stock &amp; W Capital'!$D$15))+(E130*'5.Closing Stock &amp; W Capital'!$D$15))*$C188*H$172</f>
        <v>27101818.890377581</v>
      </c>
      <c r="I188" s="196">
        <f>((G130*(1-'5.Closing Stock &amp; W Capital'!$D$15))+(F130*'5.Closing Stock &amp; W Capital'!$D$15))*$C188*I$172</f>
        <v>30492454.172156576</v>
      </c>
      <c r="J188" s="196">
        <f>((H130*(1-'5.Closing Stock &amp; W Capital'!$D$15))+(G130*'5.Closing Stock &amp; W Capital'!$D$15))*$C188*J$172</f>
        <v>34154398.434887543</v>
      </c>
    </row>
    <row r="189" spans="1:10" x14ac:dyDescent="0.35">
      <c r="A189" s="112" t="str">
        <f t="shared" si="33"/>
        <v>Jawar</v>
      </c>
      <c r="B189" s="112" t="s">
        <v>355</v>
      </c>
      <c r="C189" s="179">
        <v>3000</v>
      </c>
      <c r="D189" s="196">
        <f>(B131*(1-'5.Closing Stock &amp; W Capital'!$D$15))*$C189*D$172</f>
        <v>1450826.8708500001</v>
      </c>
      <c r="E189" s="196">
        <f>((C131*(1-'5.Closing Stock &amp; W Capital'!$D$15))+(B131*'5.Closing Stock &amp; W Capital'!$D$15))*$C189*E$172</f>
        <v>1706794.1830642505</v>
      </c>
      <c r="F189" s="196">
        <f>((D131*(1-'5.Closing Stock &amp; W Capital'!$D$15))+(C131*'5.Closing Stock &amp; W Capital'!$D$15))*$C189*F$172</f>
        <v>1955351.9151880878</v>
      </c>
      <c r="G189" s="196">
        <f>((E131*(1-'5.Closing Stock &amp; W Capital'!$D$15))+(D131*'5.Closing Stock &amp; W Capital'!$D$15))*$C189*G$172</f>
        <v>2224498.4350666492</v>
      </c>
      <c r="H189" s="196">
        <f>((F131*(1-'5.Closing Stock &amp; W Capital'!$D$15))+(E131*'5.Closing Stock &amp; W Capital'!$D$15))*$C189*H$172</f>
        <v>2515671.2271450963</v>
      </c>
      <c r="I189" s="196">
        <f>((G131*(1-'5.Closing Stock &amp; W Capital'!$D$15))+(F131*'5.Closing Stock &amp; W Capital'!$D$15))*$C189*I$172</f>
        <v>2830400.052343721</v>
      </c>
      <c r="J189" s="196">
        <f>((H131*(1-'5.Closing Stock &amp; W Capital'!$D$15))+(G131*'5.Closing Stock &amp; W Capital'!$D$15))*$C189*J$172</f>
        <v>3170312.5819943459</v>
      </c>
    </row>
    <row r="190" spans="1:10" hidden="1" x14ac:dyDescent="0.35">
      <c r="A190" s="112" t="str">
        <f t="shared" si="33"/>
        <v>Maize</v>
      </c>
      <c r="B190" s="112" t="s">
        <v>355</v>
      </c>
      <c r="C190" s="179"/>
      <c r="D190" s="196">
        <f>(B132*(1-'5.Closing Stock &amp; W Capital'!$D$15))*$C190*D$172</f>
        <v>0</v>
      </c>
      <c r="E190" s="196">
        <f>((C132*(1-'5.Closing Stock &amp; W Capital'!$D$15))+(B132*'5.Closing Stock &amp; W Capital'!$D$15))*$C190*E$172</f>
        <v>0</v>
      </c>
      <c r="F190" s="196">
        <f>((D132*(1-'5.Closing Stock &amp; W Capital'!$D$15))+(C132*'5.Closing Stock &amp; W Capital'!$D$15))*$C190*F$172</f>
        <v>0</v>
      </c>
      <c r="G190" s="196">
        <f>((E132*(1-'5.Closing Stock &amp; W Capital'!$D$15))+(D132*'5.Closing Stock &amp; W Capital'!$D$15))*$C190*G$172</f>
        <v>0</v>
      </c>
      <c r="H190" s="196">
        <f>((F132*(1-'5.Closing Stock &amp; W Capital'!$D$15))+(E132*'5.Closing Stock &amp; W Capital'!$D$15))*$C190*H$172</f>
        <v>0</v>
      </c>
      <c r="I190" s="196">
        <f>((G132*(1-'5.Closing Stock &amp; W Capital'!$D$15))+(F132*'5.Closing Stock &amp; W Capital'!$D$15))*$C190*I$172</f>
        <v>0</v>
      </c>
      <c r="J190" s="196">
        <f>((H132*(1-'5.Closing Stock &amp; W Capital'!$D$15))+(G132*'5.Closing Stock &amp; W Capital'!$D$15))*$C190*J$172</f>
        <v>0</v>
      </c>
    </row>
    <row r="191" spans="1:10" hidden="1" x14ac:dyDescent="0.35">
      <c r="A191" s="112" t="str">
        <f t="shared" si="33"/>
        <v>Safflower</v>
      </c>
      <c r="B191" s="112" t="s">
        <v>355</v>
      </c>
      <c r="C191" s="179"/>
      <c r="D191" s="196">
        <f>(B133*(1-'5.Closing Stock &amp; W Capital'!$D$15))*$C191*D$172</f>
        <v>0</v>
      </c>
      <c r="E191" s="196">
        <f>((C133*(1-'5.Closing Stock &amp; W Capital'!$D$15))+(B133*'5.Closing Stock &amp; W Capital'!$D$15))*$C191*E$172</f>
        <v>0</v>
      </c>
      <c r="F191" s="196">
        <f>((D133*(1-'5.Closing Stock &amp; W Capital'!$D$15))+(C133*'5.Closing Stock &amp; W Capital'!$D$15))*$C191*F$172</f>
        <v>0</v>
      </c>
      <c r="G191" s="196">
        <f>((E133*(1-'5.Closing Stock &amp; W Capital'!$D$15))+(D133*'5.Closing Stock &amp; W Capital'!$D$15))*$C191*G$172</f>
        <v>0</v>
      </c>
      <c r="H191" s="196">
        <f>((F133*(1-'5.Closing Stock &amp; W Capital'!$D$15))+(E133*'5.Closing Stock &amp; W Capital'!$D$15))*$C191*H$172</f>
        <v>0</v>
      </c>
      <c r="I191" s="196">
        <f>((G133*(1-'5.Closing Stock &amp; W Capital'!$D$15))+(F133*'5.Closing Stock &amp; W Capital'!$D$15))*$C191*I$172</f>
        <v>0</v>
      </c>
      <c r="J191" s="196">
        <f>((H133*(1-'5.Closing Stock &amp; W Capital'!$D$15))+(G133*'5.Closing Stock &amp; W Capital'!$D$15))*$C191*J$172</f>
        <v>0</v>
      </c>
    </row>
    <row r="192" spans="1:10" hidden="1" x14ac:dyDescent="0.35">
      <c r="A192" s="112" t="str">
        <f t="shared" si="33"/>
        <v>Groundnut</v>
      </c>
      <c r="B192" s="112" t="s">
        <v>355</v>
      </c>
      <c r="C192" s="179"/>
      <c r="D192" s="196">
        <f>(B134*(1-'5.Closing Stock &amp; W Capital'!$D$15))*$C192*D$172</f>
        <v>0</v>
      </c>
      <c r="E192" s="196">
        <f>((C134*(1-'5.Closing Stock &amp; W Capital'!$D$15))+(B134*'5.Closing Stock &amp; W Capital'!$D$15))*$C192*E$172</f>
        <v>0</v>
      </c>
      <c r="F192" s="196">
        <f>((D134*(1-'5.Closing Stock &amp; W Capital'!$D$15))+(C134*'5.Closing Stock &amp; W Capital'!$D$15))*$C192*F$172</f>
        <v>0</v>
      </c>
      <c r="G192" s="196">
        <f>((E134*(1-'5.Closing Stock &amp; W Capital'!$D$15))+(D134*'5.Closing Stock &amp; W Capital'!$D$15))*$C192*G$172</f>
        <v>0</v>
      </c>
      <c r="H192" s="196">
        <f>((F134*(1-'5.Closing Stock &amp; W Capital'!$D$15))+(E134*'5.Closing Stock &amp; W Capital'!$D$15))*$C192*H$172</f>
        <v>0</v>
      </c>
      <c r="I192" s="196">
        <f>((G134*(1-'5.Closing Stock &amp; W Capital'!$D$15))+(F134*'5.Closing Stock &amp; W Capital'!$D$15))*$C192*I$172</f>
        <v>0</v>
      </c>
      <c r="J192" s="196">
        <f>((H134*(1-'5.Closing Stock &amp; W Capital'!$D$15))+(G134*'5.Closing Stock &amp; W Capital'!$D$15))*$C192*J$172</f>
        <v>0</v>
      </c>
    </row>
    <row r="193" spans="1:10" hidden="1" x14ac:dyDescent="0.35">
      <c r="A193" s="112">
        <f t="shared" si="33"/>
        <v>0</v>
      </c>
      <c r="B193" s="112" t="s">
        <v>355</v>
      </c>
      <c r="C193" s="179"/>
      <c r="D193" s="196">
        <f>(B135*(1-'5.Closing Stock &amp; W Capital'!$D$15))*$C193*D$172</f>
        <v>0</v>
      </c>
      <c r="E193" s="196">
        <f>((C135*(1-'5.Closing Stock &amp; W Capital'!$D$15))+(B135*'5.Closing Stock &amp; W Capital'!$D$15))*$C193*E$172</f>
        <v>0</v>
      </c>
      <c r="F193" s="196">
        <f>((D135*(1-'5.Closing Stock &amp; W Capital'!$D$15))+(C135*'5.Closing Stock &amp; W Capital'!$D$15))*$C193*F$172</f>
        <v>0</v>
      </c>
      <c r="G193" s="196">
        <f>((E135*(1-'5.Closing Stock &amp; W Capital'!$D$15))+(D135*'5.Closing Stock &amp; W Capital'!$D$15))*$C193*G$172</f>
        <v>0</v>
      </c>
      <c r="H193" s="196">
        <f>((F135*(1-'5.Closing Stock &amp; W Capital'!$D$15))+(E135*'5.Closing Stock &amp; W Capital'!$D$15))*$C193*H$172</f>
        <v>0</v>
      </c>
      <c r="I193" s="196">
        <f>((G135*(1-'5.Closing Stock &amp; W Capital'!$D$15))+(F135*'5.Closing Stock &amp; W Capital'!$D$15))*$C193*I$172</f>
        <v>0</v>
      </c>
      <c r="J193" s="196">
        <f>((H135*(1-'5.Closing Stock &amp; W Capital'!$D$15))+(G135*'5.Closing Stock &amp; W Capital'!$D$15))*$C193*J$172</f>
        <v>0</v>
      </c>
    </row>
    <row r="194" spans="1:10" hidden="1" x14ac:dyDescent="0.35">
      <c r="A194" s="112">
        <f t="shared" si="33"/>
        <v>0</v>
      </c>
      <c r="B194" s="112" t="s">
        <v>355</v>
      </c>
      <c r="C194" s="179"/>
      <c r="D194" s="196">
        <f>(B136*(1-'5.Closing Stock &amp; W Capital'!$D$15))*$C194*D$172</f>
        <v>0</v>
      </c>
      <c r="E194" s="196">
        <f>((C136*(1-'5.Closing Stock &amp; W Capital'!$D$15))+(B136*'5.Closing Stock &amp; W Capital'!$D$15))*$C194*E$172</f>
        <v>0</v>
      </c>
      <c r="F194" s="196">
        <f>((D136*(1-'5.Closing Stock &amp; W Capital'!$D$15))+(C136*'5.Closing Stock &amp; W Capital'!$D$15))*$C194*F$172</f>
        <v>0</v>
      </c>
      <c r="G194" s="196">
        <f>((E136*(1-'5.Closing Stock &amp; W Capital'!$D$15))+(D136*'5.Closing Stock &amp; W Capital'!$D$15))*$C194*G$172</f>
        <v>0</v>
      </c>
      <c r="H194" s="196">
        <f>((F136*(1-'5.Closing Stock &amp; W Capital'!$D$15))+(E136*'5.Closing Stock &amp; W Capital'!$D$15))*$C194*H$172</f>
        <v>0</v>
      </c>
      <c r="I194" s="196">
        <f>((G136*(1-'5.Closing Stock &amp; W Capital'!$D$15))+(F136*'5.Closing Stock &amp; W Capital'!$D$15))*$C194*I$172</f>
        <v>0</v>
      </c>
      <c r="J194" s="196">
        <f>((H136*(1-'5.Closing Stock &amp; W Capital'!$D$15))+(G136*'5.Closing Stock &amp; W Capital'!$D$15))*$C194*J$172</f>
        <v>0</v>
      </c>
    </row>
    <row r="195" spans="1:10" hidden="1" x14ac:dyDescent="0.35">
      <c r="A195" s="112" t="str">
        <f t="shared" si="33"/>
        <v>Soybean</v>
      </c>
      <c r="B195" s="112" t="s">
        <v>355</v>
      </c>
      <c r="C195" s="179"/>
      <c r="D195" s="196">
        <f>(B137*(1-'5.Closing Stock &amp; W Capital'!$D$15))*$C195*D$172</f>
        <v>0</v>
      </c>
      <c r="E195" s="196">
        <f>((C137*(1-'5.Closing Stock &amp; W Capital'!$D$15))+(B137*'5.Closing Stock &amp; W Capital'!$D$15))*$C195*E$172</f>
        <v>0</v>
      </c>
      <c r="F195" s="196">
        <f>((D137*(1-'5.Closing Stock &amp; W Capital'!$D$15))+(C137*'5.Closing Stock &amp; W Capital'!$D$15))*$C195*F$172</f>
        <v>0</v>
      </c>
      <c r="G195" s="196">
        <f>((E137*(1-'5.Closing Stock &amp; W Capital'!$D$15))+(D137*'5.Closing Stock &amp; W Capital'!$D$15))*$C195*G$172</f>
        <v>0</v>
      </c>
      <c r="H195" s="196">
        <f>((F137*(1-'5.Closing Stock &amp; W Capital'!$D$15))+(E137*'5.Closing Stock &amp; W Capital'!$D$15))*$C195*H$172</f>
        <v>0</v>
      </c>
      <c r="I195" s="196">
        <f>((G137*(1-'5.Closing Stock &amp; W Capital'!$D$15))+(F137*'5.Closing Stock &amp; W Capital'!$D$15))*$C195*I$172</f>
        <v>0</v>
      </c>
      <c r="J195" s="196">
        <f>((H137*(1-'5.Closing Stock &amp; W Capital'!$D$15))+(G137*'5.Closing Stock &amp; W Capital'!$D$15))*$C195*J$172</f>
        <v>0</v>
      </c>
    </row>
    <row r="196" spans="1:10" hidden="1" x14ac:dyDescent="0.35">
      <c r="A196" s="112">
        <f t="shared" si="33"/>
        <v>0</v>
      </c>
      <c r="B196" s="112" t="s">
        <v>355</v>
      </c>
      <c r="C196" s="179"/>
      <c r="D196" s="196">
        <f>(B138*(1-'5.Closing Stock &amp; W Capital'!$D$15))*$C196*D$172</f>
        <v>0</v>
      </c>
      <c r="E196" s="196">
        <f>((C138*(1-'5.Closing Stock &amp; W Capital'!$D$15))+(B138*'5.Closing Stock &amp; W Capital'!$D$15))*$C196*E$172</f>
        <v>0</v>
      </c>
      <c r="F196" s="196">
        <f>((D138*(1-'5.Closing Stock &amp; W Capital'!$D$15))+(C138*'5.Closing Stock &amp; W Capital'!$D$15))*$C196*F$172</f>
        <v>0</v>
      </c>
      <c r="G196" s="196">
        <f>((E138*(1-'5.Closing Stock &amp; W Capital'!$D$15))+(D138*'5.Closing Stock &amp; W Capital'!$D$15))*$C196*G$172</f>
        <v>0</v>
      </c>
      <c r="H196" s="196">
        <f>((F138*(1-'5.Closing Stock &amp; W Capital'!$D$15))+(E138*'5.Closing Stock &amp; W Capital'!$D$15))*$C196*H$172</f>
        <v>0</v>
      </c>
      <c r="I196" s="196">
        <f>((G138*(1-'5.Closing Stock &amp; W Capital'!$D$15))+(F138*'5.Closing Stock &amp; W Capital'!$D$15))*$C196*I$172</f>
        <v>0</v>
      </c>
      <c r="J196" s="196">
        <f>((H138*(1-'5.Closing Stock &amp; W Capital'!$D$15))+(G138*'5.Closing Stock &amp; W Capital'!$D$15))*$C196*J$172</f>
        <v>0</v>
      </c>
    </row>
    <row r="197" spans="1:10" hidden="1" x14ac:dyDescent="0.35">
      <c r="A197" s="112">
        <f t="shared" si="33"/>
        <v>0</v>
      </c>
      <c r="B197" s="112" t="s">
        <v>355</v>
      </c>
      <c r="C197" s="179"/>
      <c r="D197" s="196">
        <f>(B139*(1-'5.Closing Stock &amp; W Capital'!$D$15))*$C197*D$172</f>
        <v>0</v>
      </c>
      <c r="E197" s="196">
        <f>((C139*(1-'5.Closing Stock &amp; W Capital'!$D$15))+(B139*'5.Closing Stock &amp; W Capital'!$D$15))*$C197*E$172</f>
        <v>0</v>
      </c>
      <c r="F197" s="196">
        <f>((D139*(1-'5.Closing Stock &amp; W Capital'!$D$15))+(C139*'5.Closing Stock &amp; W Capital'!$D$15))*$C197*F$172</f>
        <v>0</v>
      </c>
      <c r="G197" s="196">
        <f>((E139*(1-'5.Closing Stock &amp; W Capital'!$D$15))+(D139*'5.Closing Stock &amp; W Capital'!$D$15))*$C197*G$172</f>
        <v>0</v>
      </c>
      <c r="H197" s="196">
        <f>((F139*(1-'5.Closing Stock &amp; W Capital'!$D$15))+(E139*'5.Closing Stock &amp; W Capital'!$D$15))*$C197*H$172</f>
        <v>0</v>
      </c>
      <c r="I197" s="196">
        <f>((G139*(1-'5.Closing Stock &amp; W Capital'!$D$15))+(F139*'5.Closing Stock &amp; W Capital'!$D$15))*$C197*I$172</f>
        <v>0</v>
      </c>
      <c r="J197" s="196">
        <f>((H139*(1-'5.Closing Stock &amp; W Capital'!$D$15))+(G139*'5.Closing Stock &amp; W Capital'!$D$15))*$C197*J$172</f>
        <v>0</v>
      </c>
    </row>
    <row r="198" spans="1:10" hidden="1" x14ac:dyDescent="0.35">
      <c r="A198" s="112">
        <f t="shared" si="33"/>
        <v>0</v>
      </c>
      <c r="B198" s="112" t="s">
        <v>355</v>
      </c>
      <c r="C198" s="179"/>
      <c r="D198" s="196">
        <f>(B140*(1-'5.Closing Stock &amp; W Capital'!$D$15))*$C198*D$172</f>
        <v>0</v>
      </c>
      <c r="E198" s="196">
        <f>((C140*(1-'5.Closing Stock &amp; W Capital'!$D$15))+(B140*'5.Closing Stock &amp; W Capital'!$D$15))*$C198*E$172</f>
        <v>0</v>
      </c>
      <c r="F198" s="196">
        <f>((D140*(1-'5.Closing Stock &amp; W Capital'!$D$15))+(C140*'5.Closing Stock &amp; W Capital'!$D$15))*$C198*F$172</f>
        <v>0</v>
      </c>
      <c r="G198" s="196">
        <f>((E140*(1-'5.Closing Stock &amp; W Capital'!$D$15))+(D140*'5.Closing Stock &amp; W Capital'!$D$15))*$C198*G$172</f>
        <v>0</v>
      </c>
      <c r="H198" s="196">
        <f>((F140*(1-'5.Closing Stock &amp; W Capital'!$D$15))+(E140*'5.Closing Stock &amp; W Capital'!$D$15))*$C198*H$172</f>
        <v>0</v>
      </c>
      <c r="I198" s="196">
        <f>((G140*(1-'5.Closing Stock &amp; W Capital'!$D$15))+(F140*'5.Closing Stock &amp; W Capital'!$D$15))*$C198*I$172</f>
        <v>0</v>
      </c>
      <c r="J198" s="196">
        <f>((H140*(1-'5.Closing Stock &amp; W Capital'!$D$15))+(G140*'5.Closing Stock &amp; W Capital'!$D$15))*$C198*J$172</f>
        <v>0</v>
      </c>
    </row>
    <row r="199" spans="1:10" hidden="1" x14ac:dyDescent="0.35">
      <c r="A199" s="112"/>
      <c r="B199" s="112" t="s">
        <v>355</v>
      </c>
      <c r="C199" s="179"/>
      <c r="D199" s="196">
        <f>(B141*(1-'5.Closing Stock &amp; W Capital'!$D$15))*$C199*D$172</f>
        <v>0</v>
      </c>
      <c r="E199" s="196">
        <f>((C141*(1-'5.Closing Stock &amp; W Capital'!$D$15))+(B141*'5.Closing Stock &amp; W Capital'!$D$15))*$C199*E$172</f>
        <v>0</v>
      </c>
      <c r="F199" s="196">
        <f>((D141*(1-'5.Closing Stock &amp; W Capital'!$D$15))+(C141*'5.Closing Stock &amp; W Capital'!$D$15))*$C199*F$172</f>
        <v>0</v>
      </c>
      <c r="G199" s="196">
        <f>((E141*(1-'5.Closing Stock &amp; W Capital'!$D$15))+(D141*'5.Closing Stock &amp; W Capital'!$D$15))*$C199*G$172</f>
        <v>0</v>
      </c>
      <c r="H199" s="196">
        <f>((F141*(1-'5.Closing Stock &amp; W Capital'!$D$15))+(E141*'5.Closing Stock &amp; W Capital'!$D$15))*$C199*H$172</f>
        <v>0</v>
      </c>
      <c r="I199" s="196">
        <f>((G141*(1-'5.Closing Stock &amp; W Capital'!$D$15))+(F141*'5.Closing Stock &amp; W Capital'!$D$15))*$C199*I$172</f>
        <v>0</v>
      </c>
      <c r="J199" s="196">
        <f>((H141*(1-'5.Closing Stock &amp; W Capital'!$D$15))+(G141*'5.Closing Stock &amp; W Capital'!$D$15))*$C199*J$172</f>
        <v>0</v>
      </c>
    </row>
    <row r="200" spans="1:10" x14ac:dyDescent="0.35">
      <c r="A200" s="116" t="s">
        <v>292</v>
      </c>
      <c r="B200" s="112" t="s">
        <v>355</v>
      </c>
      <c r="C200" s="178">
        <v>70</v>
      </c>
      <c r="D200" s="176">
        <f>B65*$C$200*D172</f>
        <v>907376.71500000008</v>
      </c>
      <c r="E200" s="196">
        <f t="shared" ref="E200:J200" si="34">C65*$C$200*E172</f>
        <v>1048020.1058250003</v>
      </c>
      <c r="F200" s="196">
        <f t="shared" si="34"/>
        <v>1200459.3939450004</v>
      </c>
      <c r="G200" s="196">
        <f t="shared" si="34"/>
        <v>1365522.560612438</v>
      </c>
      <c r="H200" s="196">
        <f t="shared" si="34"/>
        <v>1544090.895461757</v>
      </c>
      <c r="I200" s="196">
        <f t="shared" si="34"/>
        <v>1737102.2573944768</v>
      </c>
      <c r="J200" s="196">
        <f t="shared" si="34"/>
        <v>1945554.528281814</v>
      </c>
    </row>
    <row r="201" spans="1:10" x14ac:dyDescent="0.35">
      <c r="A201" s="116"/>
      <c r="B201" s="116"/>
      <c r="C201" s="116"/>
      <c r="D201" s="112"/>
      <c r="E201" s="112"/>
      <c r="F201" s="112"/>
      <c r="G201" s="112"/>
      <c r="H201" s="112"/>
      <c r="I201" s="112"/>
      <c r="J201" s="112"/>
    </row>
    <row r="202" spans="1:10" hidden="1" x14ac:dyDescent="0.35">
      <c r="A202" s="116" t="str">
        <f t="shared" ref="A202:A220" si="35">A143</f>
        <v>Fruit  &amp; Vegetables Crop Production Details</v>
      </c>
      <c r="B202" s="116"/>
      <c r="C202" s="116"/>
      <c r="D202" s="112"/>
      <c r="E202" s="112"/>
      <c r="F202" s="112"/>
      <c r="G202" s="112"/>
      <c r="H202" s="112"/>
      <c r="I202" s="112"/>
      <c r="J202" s="112"/>
    </row>
    <row r="203" spans="1:10" hidden="1" x14ac:dyDescent="0.35">
      <c r="A203" s="116" t="str">
        <f t="shared" si="35"/>
        <v>Onion</v>
      </c>
      <c r="B203" s="112" t="s">
        <v>355</v>
      </c>
      <c r="C203" s="197">
        <v>0</v>
      </c>
      <c r="D203" s="196">
        <f>(B144*(1-'5.Closing Stock &amp; W Capital'!$D$15))*$C203*D$172</f>
        <v>0</v>
      </c>
      <c r="E203" s="196">
        <f>((C144*(1-'5.Closing Stock &amp; W Capital'!$D$15))+(B144*'5.Closing Stock &amp; W Capital'!$D$15))*$C203*E$172</f>
        <v>0</v>
      </c>
      <c r="F203" s="196">
        <f>((D144*(1-'5.Closing Stock &amp; W Capital'!$D$15))+(C144*'5.Closing Stock &amp; W Capital'!$D$15))*$C203*F$172</f>
        <v>0</v>
      </c>
      <c r="G203" s="196">
        <f>((E144*(1-'5.Closing Stock &amp; W Capital'!$D$15))+(D144*'5.Closing Stock &amp; W Capital'!$D$15))*$C203*G$172</f>
        <v>0</v>
      </c>
      <c r="H203" s="196">
        <f>((F144*(1-'5.Closing Stock &amp; W Capital'!$D$15))+(E144*'5.Closing Stock &amp; W Capital'!$D$15))*$C203*H$172</f>
        <v>0</v>
      </c>
      <c r="I203" s="196">
        <f>((G144*(1-'5.Closing Stock &amp; W Capital'!$D$15))+(F144*'5.Closing Stock &amp; W Capital'!$D$15))*$C203*I$172</f>
        <v>0</v>
      </c>
      <c r="J203" s="196">
        <f>((H144*(1-'5.Closing Stock &amp; W Capital'!$D$15))+(G144*'5.Closing Stock &amp; W Capital'!$D$15))*$C203*J$172</f>
        <v>0</v>
      </c>
    </row>
    <row r="204" spans="1:10" hidden="1" x14ac:dyDescent="0.35">
      <c r="A204" s="116" t="str">
        <f t="shared" si="35"/>
        <v>Tomato</v>
      </c>
      <c r="B204" s="112" t="s">
        <v>355</v>
      </c>
      <c r="C204" s="179">
        <v>0</v>
      </c>
      <c r="D204" s="196">
        <f>(B145*(1-'5.Closing Stock &amp; W Capital'!$D$15))*$C204*D$172</f>
        <v>0</v>
      </c>
      <c r="E204" s="196">
        <f>((C145*(1-'5.Closing Stock &amp; W Capital'!$D$15))+(B145*'5.Closing Stock &amp; W Capital'!$D$15))*$C204*E$172</f>
        <v>0</v>
      </c>
      <c r="F204" s="196">
        <f>((D145*(1-'5.Closing Stock &amp; W Capital'!$D$15))+(C145*'5.Closing Stock &amp; W Capital'!$D$15))*$C204*F$172</f>
        <v>0</v>
      </c>
      <c r="G204" s="196">
        <f>((E145*(1-'5.Closing Stock &amp; W Capital'!$D$15))+(D145*'5.Closing Stock &amp; W Capital'!$D$15))*$C204*G$172</f>
        <v>0</v>
      </c>
      <c r="H204" s="196">
        <f>((F145*(1-'5.Closing Stock &amp; W Capital'!$D$15))+(E145*'5.Closing Stock &amp; W Capital'!$D$15))*$C204*H$172</f>
        <v>0</v>
      </c>
      <c r="I204" s="196">
        <f>((G145*(1-'5.Closing Stock &amp; W Capital'!$D$15))+(F145*'5.Closing Stock &amp; W Capital'!$D$15))*$C204*I$172</f>
        <v>0</v>
      </c>
      <c r="J204" s="196">
        <f>((H145*(1-'5.Closing Stock &amp; W Capital'!$D$15))+(G145*'5.Closing Stock &amp; W Capital'!$D$15))*$C204*J$172</f>
        <v>0</v>
      </c>
    </row>
    <row r="205" spans="1:10" hidden="1" x14ac:dyDescent="0.35">
      <c r="A205" s="116" t="str">
        <f t="shared" si="35"/>
        <v>Okra</v>
      </c>
      <c r="B205" s="112" t="s">
        <v>355</v>
      </c>
      <c r="C205" s="179">
        <v>0</v>
      </c>
      <c r="D205" s="196">
        <f>(B146*(1-'5.Closing Stock &amp; W Capital'!$D$15))*$C205*D$172</f>
        <v>0</v>
      </c>
      <c r="E205" s="196">
        <f>((C146*(1-'5.Closing Stock &amp; W Capital'!$D$15))+(B146*'5.Closing Stock &amp; W Capital'!$D$15))*$C205*E$172</f>
        <v>0</v>
      </c>
      <c r="F205" s="196">
        <f>((D146*(1-'5.Closing Stock &amp; W Capital'!$D$15))+(C146*'5.Closing Stock &amp; W Capital'!$D$15))*$C205*F$172</f>
        <v>0</v>
      </c>
      <c r="G205" s="196">
        <f>((E146*(1-'5.Closing Stock &amp; W Capital'!$D$15))+(D146*'5.Closing Stock &amp; W Capital'!$D$15))*$C205*G$172</f>
        <v>0</v>
      </c>
      <c r="H205" s="196">
        <f>((F146*(1-'5.Closing Stock &amp; W Capital'!$D$15))+(E146*'5.Closing Stock &amp; W Capital'!$D$15))*$C205*H$172</f>
        <v>0</v>
      </c>
      <c r="I205" s="196">
        <f>((G146*(1-'5.Closing Stock &amp; W Capital'!$D$15))+(F146*'5.Closing Stock &amp; W Capital'!$D$15))*$C205*I$172</f>
        <v>0</v>
      </c>
      <c r="J205" s="196">
        <f>((H146*(1-'5.Closing Stock &amp; W Capital'!$D$15))+(G146*'5.Closing Stock &amp; W Capital'!$D$15))*$C205*J$172</f>
        <v>0</v>
      </c>
    </row>
    <row r="206" spans="1:10" hidden="1" x14ac:dyDescent="0.35">
      <c r="A206" s="116" t="str">
        <f t="shared" si="35"/>
        <v>Chilli</v>
      </c>
      <c r="B206" s="112" t="s">
        <v>355</v>
      </c>
      <c r="C206" s="179">
        <v>0</v>
      </c>
      <c r="D206" s="196">
        <f>(B147*(1-'5.Closing Stock &amp; W Capital'!$D$15))*$C206*D$172</f>
        <v>0</v>
      </c>
      <c r="E206" s="196">
        <f>((C147*(1-'5.Closing Stock &amp; W Capital'!$D$15))+(B147*'5.Closing Stock &amp; W Capital'!$D$15))*$C206*E$172</f>
        <v>0</v>
      </c>
      <c r="F206" s="196">
        <f>((D147*(1-'5.Closing Stock &amp; W Capital'!$D$15))+(C147*'5.Closing Stock &amp; W Capital'!$D$15))*$C206*F$172</f>
        <v>0</v>
      </c>
      <c r="G206" s="196">
        <f>((E147*(1-'5.Closing Stock &amp; W Capital'!$D$15))+(D147*'5.Closing Stock &amp; W Capital'!$D$15))*$C206*G$172</f>
        <v>0</v>
      </c>
      <c r="H206" s="196">
        <f>((F147*(1-'5.Closing Stock &amp; W Capital'!$D$15))+(E147*'5.Closing Stock &amp; W Capital'!$D$15))*$C206*H$172</f>
        <v>0</v>
      </c>
      <c r="I206" s="196">
        <f>((G147*(1-'5.Closing Stock &amp; W Capital'!$D$15))+(F147*'5.Closing Stock &amp; W Capital'!$D$15))*$C206*I$172</f>
        <v>0</v>
      </c>
      <c r="J206" s="196">
        <f>((H147*(1-'5.Closing Stock &amp; W Capital'!$D$15))+(G147*'5.Closing Stock &amp; W Capital'!$D$15))*$C206*J$172</f>
        <v>0</v>
      </c>
    </row>
    <row r="207" spans="1:10" hidden="1" x14ac:dyDescent="0.35">
      <c r="A207" s="116" t="str">
        <f t="shared" si="35"/>
        <v>Potato</v>
      </c>
      <c r="B207" s="112" t="s">
        <v>355</v>
      </c>
      <c r="C207" s="179">
        <v>0</v>
      </c>
      <c r="D207" s="196">
        <f>(B148*(1-'5.Closing Stock &amp; W Capital'!$D$15))*$C207*D$172</f>
        <v>0</v>
      </c>
      <c r="E207" s="196">
        <f>((C148*(1-'5.Closing Stock &amp; W Capital'!$D$15))+(B148*'5.Closing Stock &amp; W Capital'!$D$15))*$C207*E$172</f>
        <v>0</v>
      </c>
      <c r="F207" s="196">
        <f>((D148*(1-'5.Closing Stock &amp; W Capital'!$D$15))+(C148*'5.Closing Stock &amp; W Capital'!$D$15))*$C207*F$172</f>
        <v>0</v>
      </c>
      <c r="G207" s="196">
        <f>((E148*(1-'5.Closing Stock &amp; W Capital'!$D$15))+(D148*'5.Closing Stock &amp; W Capital'!$D$15))*$C207*G$172</f>
        <v>0</v>
      </c>
      <c r="H207" s="196">
        <f>((F148*(1-'5.Closing Stock &amp; W Capital'!$D$15))+(E148*'5.Closing Stock &amp; W Capital'!$D$15))*$C207*H$172</f>
        <v>0</v>
      </c>
      <c r="I207" s="196">
        <f>((G148*(1-'5.Closing Stock &amp; W Capital'!$D$15))+(F148*'5.Closing Stock &amp; W Capital'!$D$15))*$C207*I$172</f>
        <v>0</v>
      </c>
      <c r="J207" s="196">
        <f>((H148*(1-'5.Closing Stock &amp; W Capital'!$D$15))+(G148*'5.Closing Stock &amp; W Capital'!$D$15))*$C207*J$172</f>
        <v>0</v>
      </c>
    </row>
    <row r="208" spans="1:10" hidden="1" x14ac:dyDescent="0.35">
      <c r="A208" s="116">
        <f t="shared" si="35"/>
        <v>0</v>
      </c>
      <c r="B208" s="112" t="s">
        <v>355</v>
      </c>
      <c r="C208" s="178"/>
      <c r="D208" s="196">
        <f>(B149*(1-'5.Closing Stock &amp; W Capital'!$D$15))*$C208*D$172</f>
        <v>0</v>
      </c>
      <c r="E208" s="196">
        <f>((C149*(1-'5.Closing Stock &amp; W Capital'!$D$15))+(B149*'5.Closing Stock &amp; W Capital'!$D$15))*$C208*E$172</f>
        <v>0</v>
      </c>
      <c r="F208" s="196">
        <f>((D149*(1-'5.Closing Stock &amp; W Capital'!$D$15))+(C149*'5.Closing Stock &amp; W Capital'!$D$15))*$C208*F$172</f>
        <v>0</v>
      </c>
      <c r="G208" s="196">
        <f>((E149*(1-'5.Closing Stock &amp; W Capital'!$D$15))+(D149*'5.Closing Stock &amp; W Capital'!$D$15))*$C208*G$172</f>
        <v>0</v>
      </c>
      <c r="H208" s="196">
        <f>((F149*(1-'5.Closing Stock &amp; W Capital'!$D$15))+(E149*'5.Closing Stock &amp; W Capital'!$D$15))*$C208*H$172</f>
        <v>0</v>
      </c>
      <c r="I208" s="196">
        <f>((G149*(1-'5.Closing Stock &amp; W Capital'!$D$15))+(F149*'5.Closing Stock &amp; W Capital'!$D$15))*$C208*I$172</f>
        <v>0</v>
      </c>
      <c r="J208" s="196">
        <f>((H149*(1-'5.Closing Stock &amp; W Capital'!$D$15))+(G149*'5.Closing Stock &amp; W Capital'!$D$15))*$C208*J$172</f>
        <v>0</v>
      </c>
    </row>
    <row r="209" spans="1:10" hidden="1" x14ac:dyDescent="0.35">
      <c r="A209" s="116">
        <f t="shared" si="35"/>
        <v>0</v>
      </c>
      <c r="B209" s="112" t="s">
        <v>355</v>
      </c>
      <c r="C209" s="178"/>
      <c r="D209" s="196">
        <f>(B150*(1-'5.Closing Stock &amp; W Capital'!$D$15))*$C209*D$172</f>
        <v>0</v>
      </c>
      <c r="E209" s="196">
        <f>((C150*(1-'5.Closing Stock &amp; W Capital'!$D$15))+(B150*'5.Closing Stock &amp; W Capital'!$D$15))*$C209*E$172</f>
        <v>0</v>
      </c>
      <c r="F209" s="196">
        <f>((D150*(1-'5.Closing Stock &amp; W Capital'!$D$15))+(C150*'5.Closing Stock &amp; W Capital'!$D$15))*$C209*F$172</f>
        <v>0</v>
      </c>
      <c r="G209" s="196">
        <f>((E150*(1-'5.Closing Stock &amp; W Capital'!$D$15))+(D150*'5.Closing Stock &amp; W Capital'!$D$15))*$C209*G$172</f>
        <v>0</v>
      </c>
      <c r="H209" s="196">
        <f>((F150*(1-'5.Closing Stock &amp; W Capital'!$D$15))+(E150*'5.Closing Stock &amp; W Capital'!$D$15))*$C209*H$172</f>
        <v>0</v>
      </c>
      <c r="I209" s="196">
        <f>((G150*(1-'5.Closing Stock &amp; W Capital'!$D$15))+(F150*'5.Closing Stock &amp; W Capital'!$D$15))*$C209*I$172</f>
        <v>0</v>
      </c>
      <c r="J209" s="196">
        <f>((H150*(1-'5.Closing Stock &amp; W Capital'!$D$15))+(G150*'5.Closing Stock &amp; W Capital'!$D$15))*$C209*J$172</f>
        <v>0</v>
      </c>
    </row>
    <row r="210" spans="1:10" hidden="1" x14ac:dyDescent="0.35">
      <c r="A210" s="116">
        <f t="shared" si="35"/>
        <v>0</v>
      </c>
      <c r="B210" s="112" t="s">
        <v>355</v>
      </c>
      <c r="C210" s="178"/>
      <c r="D210" s="196">
        <f>(B151*(1-'5.Closing Stock &amp; W Capital'!$D$15))*$C210*D$172</f>
        <v>0</v>
      </c>
      <c r="E210" s="196">
        <f>((C151*(1-'5.Closing Stock &amp; W Capital'!$D$15))+(B151*'5.Closing Stock &amp; W Capital'!$D$15))*$C210*E$172</f>
        <v>0</v>
      </c>
      <c r="F210" s="196">
        <f>((D151*(1-'5.Closing Stock &amp; W Capital'!$D$15))+(C151*'5.Closing Stock &amp; W Capital'!$D$15))*$C210*F$172</f>
        <v>0</v>
      </c>
      <c r="G210" s="196">
        <f>((E151*(1-'5.Closing Stock &amp; W Capital'!$D$15))+(D151*'5.Closing Stock &amp; W Capital'!$D$15))*$C210*G$172</f>
        <v>0</v>
      </c>
      <c r="H210" s="196">
        <f>((F151*(1-'5.Closing Stock &amp; W Capital'!$D$15))+(E151*'5.Closing Stock &amp; W Capital'!$D$15))*$C210*H$172</f>
        <v>0</v>
      </c>
      <c r="I210" s="196">
        <f>((G151*(1-'5.Closing Stock &amp; W Capital'!$D$15))+(F151*'5.Closing Stock &amp; W Capital'!$D$15))*$C210*I$172</f>
        <v>0</v>
      </c>
      <c r="J210" s="196">
        <f>((H151*(1-'5.Closing Stock &amp; W Capital'!$D$15))+(G151*'5.Closing Stock &amp; W Capital'!$D$15))*$C210*J$172</f>
        <v>0</v>
      </c>
    </row>
    <row r="211" spans="1:10" hidden="1" x14ac:dyDescent="0.35">
      <c r="A211" s="116">
        <f t="shared" si="35"/>
        <v>0</v>
      </c>
      <c r="B211" s="112" t="s">
        <v>355</v>
      </c>
      <c r="C211" s="178"/>
      <c r="D211" s="196">
        <f>(B152*(1-'5.Closing Stock &amp; W Capital'!$D$15))*$C211*D$172</f>
        <v>0</v>
      </c>
      <c r="E211" s="196">
        <f>((C152*(1-'5.Closing Stock &amp; W Capital'!$D$15))+(B152*'5.Closing Stock &amp; W Capital'!$D$15))*$C211*E$172</f>
        <v>0</v>
      </c>
      <c r="F211" s="196">
        <f>((D152*(1-'5.Closing Stock &amp; W Capital'!$D$15))+(C152*'5.Closing Stock &amp; W Capital'!$D$15))*$C211*F$172</f>
        <v>0</v>
      </c>
      <c r="G211" s="196">
        <f>((E152*(1-'5.Closing Stock &amp; W Capital'!$D$15))+(D152*'5.Closing Stock &amp; W Capital'!$D$15))*$C211*G$172</f>
        <v>0</v>
      </c>
      <c r="H211" s="196">
        <f>((F152*(1-'5.Closing Stock &amp; W Capital'!$D$15))+(E152*'5.Closing Stock &amp; W Capital'!$D$15))*$C211*H$172</f>
        <v>0</v>
      </c>
      <c r="I211" s="196">
        <f>((G152*(1-'5.Closing Stock &amp; W Capital'!$D$15))+(F152*'5.Closing Stock &amp; W Capital'!$D$15))*$C211*I$172</f>
        <v>0</v>
      </c>
      <c r="J211" s="196">
        <f>((H152*(1-'5.Closing Stock &amp; W Capital'!$D$15))+(G152*'5.Closing Stock &amp; W Capital'!$D$15))*$C211*J$172</f>
        <v>0</v>
      </c>
    </row>
    <row r="212" spans="1:10" hidden="1" x14ac:dyDescent="0.35">
      <c r="A212" s="116" t="str">
        <f t="shared" si="35"/>
        <v>Onion</v>
      </c>
      <c r="B212" s="112" t="s">
        <v>355</v>
      </c>
      <c r="C212" s="179">
        <v>0</v>
      </c>
      <c r="D212" s="196">
        <f>(B153*(1-'5.Closing Stock &amp; W Capital'!$D$15))*$C212*D$172</f>
        <v>0</v>
      </c>
      <c r="E212" s="196">
        <f>((C153*(1-'5.Closing Stock &amp; W Capital'!$D$15))+(B153*'5.Closing Stock &amp; W Capital'!$D$15))*$C212*E$172</f>
        <v>0</v>
      </c>
      <c r="F212" s="196">
        <f>((D153*(1-'5.Closing Stock &amp; W Capital'!$D$15))+(C153*'5.Closing Stock &amp; W Capital'!$D$15))*$C212*F$172</f>
        <v>0</v>
      </c>
      <c r="G212" s="196">
        <f>((E153*(1-'5.Closing Stock &amp; W Capital'!$D$15))+(D153*'5.Closing Stock &amp; W Capital'!$D$15))*$C212*G$172</f>
        <v>0</v>
      </c>
      <c r="H212" s="196">
        <f>((F153*(1-'5.Closing Stock &amp; W Capital'!$D$15))+(E153*'5.Closing Stock &amp; W Capital'!$D$15))*$C212*H$172</f>
        <v>0</v>
      </c>
      <c r="I212" s="196">
        <f>((G153*(1-'5.Closing Stock &amp; W Capital'!$D$15))+(F153*'5.Closing Stock &amp; W Capital'!$D$15))*$C212*I$172</f>
        <v>0</v>
      </c>
      <c r="J212" s="196">
        <f>((H153*(1-'5.Closing Stock &amp; W Capital'!$D$15))+(G153*'5.Closing Stock &amp; W Capital'!$D$15))*$C212*J$172</f>
        <v>0</v>
      </c>
    </row>
    <row r="213" spans="1:10" hidden="1" x14ac:dyDescent="0.35">
      <c r="A213" s="116" t="str">
        <f t="shared" si="35"/>
        <v>Tomato</v>
      </c>
      <c r="B213" s="112" t="s">
        <v>355</v>
      </c>
      <c r="C213" s="179">
        <v>0</v>
      </c>
      <c r="D213" s="196">
        <f>(B154*(1-'5.Closing Stock &amp; W Capital'!$D$15))*$C213*D$172</f>
        <v>0</v>
      </c>
      <c r="E213" s="196">
        <f>((C154*(1-'5.Closing Stock &amp; W Capital'!$D$15))+(B154*'5.Closing Stock &amp; W Capital'!$D$15))*$C213*E$172</f>
        <v>0</v>
      </c>
      <c r="F213" s="196">
        <f>((D154*(1-'5.Closing Stock &amp; W Capital'!$D$15))+(C154*'5.Closing Stock &amp; W Capital'!$D$15))*$C213*F$172</f>
        <v>0</v>
      </c>
      <c r="G213" s="196">
        <f>((E154*(1-'5.Closing Stock &amp; W Capital'!$D$15))+(D154*'5.Closing Stock &amp; W Capital'!$D$15))*$C213*G$172</f>
        <v>0</v>
      </c>
      <c r="H213" s="196">
        <f>((F154*(1-'5.Closing Stock &amp; W Capital'!$D$15))+(E154*'5.Closing Stock &amp; W Capital'!$D$15))*$C213*H$172</f>
        <v>0</v>
      </c>
      <c r="I213" s="196">
        <f>((G154*(1-'5.Closing Stock &amp; W Capital'!$D$15))+(F154*'5.Closing Stock &amp; W Capital'!$D$15))*$C213*I$172</f>
        <v>0</v>
      </c>
      <c r="J213" s="196">
        <f>((H154*(1-'5.Closing Stock &amp; W Capital'!$D$15))+(G154*'5.Closing Stock &amp; W Capital'!$D$15))*$C213*J$172</f>
        <v>0</v>
      </c>
    </row>
    <row r="214" spans="1:10" hidden="1" x14ac:dyDescent="0.35">
      <c r="A214" s="116" t="str">
        <f t="shared" si="35"/>
        <v>Okra</v>
      </c>
      <c r="B214" s="112" t="s">
        <v>355</v>
      </c>
      <c r="C214" s="179">
        <v>0</v>
      </c>
      <c r="D214" s="196">
        <f>(B155*(1-'5.Closing Stock &amp; W Capital'!$D$15))*$C214*D$172</f>
        <v>0</v>
      </c>
      <c r="E214" s="196">
        <f>((C155*(1-'5.Closing Stock &amp; W Capital'!$D$15))+(B155*'5.Closing Stock &amp; W Capital'!$D$15))*$C214*E$172</f>
        <v>0</v>
      </c>
      <c r="F214" s="196">
        <f>((D155*(1-'5.Closing Stock &amp; W Capital'!$D$15))+(C155*'5.Closing Stock &amp; W Capital'!$D$15))*$C214*F$172</f>
        <v>0</v>
      </c>
      <c r="G214" s="196">
        <f>((E155*(1-'5.Closing Stock &amp; W Capital'!$D$15))+(D155*'5.Closing Stock &amp; W Capital'!$D$15))*$C214*G$172</f>
        <v>0</v>
      </c>
      <c r="H214" s="196">
        <f>((F155*(1-'5.Closing Stock &amp; W Capital'!$D$15))+(E155*'5.Closing Stock &amp; W Capital'!$D$15))*$C214*H$172</f>
        <v>0</v>
      </c>
      <c r="I214" s="196">
        <f>((G155*(1-'5.Closing Stock &amp; W Capital'!$D$15))+(F155*'5.Closing Stock &amp; W Capital'!$D$15))*$C214*I$172</f>
        <v>0</v>
      </c>
      <c r="J214" s="196">
        <f>((H155*(1-'5.Closing Stock &amp; W Capital'!$D$15))+(G155*'5.Closing Stock &amp; W Capital'!$D$15))*$C214*J$172</f>
        <v>0</v>
      </c>
    </row>
    <row r="215" spans="1:10" hidden="1" x14ac:dyDescent="0.35">
      <c r="A215" s="116" t="str">
        <f t="shared" si="35"/>
        <v>Chilli</v>
      </c>
      <c r="B215" s="112" t="s">
        <v>355</v>
      </c>
      <c r="C215" s="179">
        <v>0</v>
      </c>
      <c r="D215" s="196">
        <f>(B156*(1-'5.Closing Stock &amp; W Capital'!$D$15))*$C215*D$172</f>
        <v>0</v>
      </c>
      <c r="E215" s="196">
        <f>((C156*(1-'5.Closing Stock &amp; W Capital'!$D$15))+(B156*'5.Closing Stock &amp; W Capital'!$D$15))*$C215*E$172</f>
        <v>0</v>
      </c>
      <c r="F215" s="196">
        <f>((D156*(1-'5.Closing Stock &amp; W Capital'!$D$15))+(C156*'5.Closing Stock &amp; W Capital'!$D$15))*$C215*F$172</f>
        <v>0</v>
      </c>
      <c r="G215" s="196">
        <f>((E156*(1-'5.Closing Stock &amp; W Capital'!$D$15))+(D156*'5.Closing Stock &amp; W Capital'!$D$15))*$C215*G$172</f>
        <v>0</v>
      </c>
      <c r="H215" s="196">
        <f>((F156*(1-'5.Closing Stock &amp; W Capital'!$D$15))+(E156*'5.Closing Stock &amp; W Capital'!$D$15))*$C215*H$172</f>
        <v>0</v>
      </c>
      <c r="I215" s="196">
        <f>((G156*(1-'5.Closing Stock &amp; W Capital'!$D$15))+(F156*'5.Closing Stock &amp; W Capital'!$D$15))*$C215*I$172</f>
        <v>0</v>
      </c>
      <c r="J215" s="196">
        <f>((H156*(1-'5.Closing Stock &amp; W Capital'!$D$15))+(G156*'5.Closing Stock &amp; W Capital'!$D$15))*$C215*J$172</f>
        <v>0</v>
      </c>
    </row>
    <row r="216" spans="1:10" hidden="1" x14ac:dyDescent="0.35">
      <c r="A216" s="116" t="str">
        <f t="shared" si="35"/>
        <v>Brinjal</v>
      </c>
      <c r="B216" s="112" t="s">
        <v>355</v>
      </c>
      <c r="C216" s="179">
        <v>0</v>
      </c>
      <c r="D216" s="196">
        <f>(B157*(1-'5.Closing Stock &amp; W Capital'!$D$15))*$C216*D$172</f>
        <v>0</v>
      </c>
      <c r="E216" s="196">
        <f>((C157*(1-'5.Closing Stock &amp; W Capital'!$D$15))+(B157*'5.Closing Stock &amp; W Capital'!$D$15))*$C216*E$172</f>
        <v>0</v>
      </c>
      <c r="F216" s="196">
        <f>((D157*(1-'5.Closing Stock &amp; W Capital'!$D$15))+(C157*'5.Closing Stock &amp; W Capital'!$D$15))*$C216*F$172</f>
        <v>0</v>
      </c>
      <c r="G216" s="196">
        <f>((E157*(1-'5.Closing Stock &amp; W Capital'!$D$15))+(D157*'5.Closing Stock &amp; W Capital'!$D$15))*$C216*G$172</f>
        <v>0</v>
      </c>
      <c r="H216" s="196">
        <f>((F157*(1-'5.Closing Stock &amp; W Capital'!$D$15))+(E157*'5.Closing Stock &amp; W Capital'!$D$15))*$C216*H$172</f>
        <v>0</v>
      </c>
      <c r="I216" s="196">
        <f>((G157*(1-'5.Closing Stock &amp; W Capital'!$D$15))+(F157*'5.Closing Stock &amp; W Capital'!$D$15))*$C216*I$172</f>
        <v>0</v>
      </c>
      <c r="J216" s="196">
        <f>((H157*(1-'5.Closing Stock &amp; W Capital'!$D$15))+(G157*'5.Closing Stock &amp; W Capital'!$D$15))*$C216*J$172</f>
        <v>0</v>
      </c>
    </row>
    <row r="217" spans="1:10" hidden="1" x14ac:dyDescent="0.35">
      <c r="A217" s="116">
        <f t="shared" si="35"/>
        <v>0</v>
      </c>
      <c r="B217" s="112" t="s">
        <v>355</v>
      </c>
      <c r="C217" s="179">
        <v>0</v>
      </c>
      <c r="D217" s="196">
        <f>(B158*(1-'5.Closing Stock &amp; W Capital'!$D$15))*$C217*D$172</f>
        <v>0</v>
      </c>
      <c r="E217" s="196">
        <f>((C158*(1-'5.Closing Stock &amp; W Capital'!$D$15))+(B158*'5.Closing Stock &amp; W Capital'!$D$15))*$C217*E$172</f>
        <v>0</v>
      </c>
      <c r="F217" s="196">
        <f>((D158*(1-'5.Closing Stock &amp; W Capital'!$D$15))+(C158*'5.Closing Stock &amp; W Capital'!$D$15))*$C217*F$172</f>
        <v>0</v>
      </c>
      <c r="G217" s="196">
        <f>((E158*(1-'5.Closing Stock &amp; W Capital'!$D$15))+(D158*'5.Closing Stock &amp; W Capital'!$D$15))*$C217*G$172</f>
        <v>0</v>
      </c>
      <c r="H217" s="196">
        <f>((F158*(1-'5.Closing Stock &amp; W Capital'!$D$15))+(E158*'5.Closing Stock &amp; W Capital'!$D$15))*$C217*H$172</f>
        <v>0</v>
      </c>
      <c r="I217" s="196">
        <f>((G158*(1-'5.Closing Stock &amp; W Capital'!$D$15))+(F158*'5.Closing Stock &amp; W Capital'!$D$15))*$C217*I$172</f>
        <v>0</v>
      </c>
      <c r="J217" s="196">
        <f>((H158*(1-'5.Closing Stock &amp; W Capital'!$D$15))+(G158*'5.Closing Stock &amp; W Capital'!$D$15))*$C217*J$172</f>
        <v>0</v>
      </c>
    </row>
    <row r="218" spans="1:10" hidden="1" x14ac:dyDescent="0.35">
      <c r="A218" s="116">
        <f t="shared" si="35"/>
        <v>0</v>
      </c>
      <c r="B218" s="112" t="s">
        <v>355</v>
      </c>
      <c r="C218" s="179"/>
      <c r="D218" s="196">
        <f>(B159*(1-'5.Closing Stock &amp; W Capital'!$D$15))*$C218*D$172</f>
        <v>0</v>
      </c>
      <c r="E218" s="196">
        <f>((C159*(1-'5.Closing Stock &amp; W Capital'!$D$15))+(B159*'5.Closing Stock &amp; W Capital'!$D$15))*$C218*E$172</f>
        <v>0</v>
      </c>
      <c r="F218" s="196">
        <f>((D159*(1-'5.Closing Stock &amp; W Capital'!$D$15))+(C159*'5.Closing Stock &amp; W Capital'!$D$15))*$C218*F$172</f>
        <v>0</v>
      </c>
      <c r="G218" s="196">
        <f>((E159*(1-'5.Closing Stock &amp; W Capital'!$D$15))+(D159*'5.Closing Stock &amp; W Capital'!$D$15))*$C218*G$172</f>
        <v>0</v>
      </c>
      <c r="H218" s="196">
        <f>((F159*(1-'5.Closing Stock &amp; W Capital'!$D$15))+(E159*'5.Closing Stock &amp; W Capital'!$D$15))*$C218*H$172</f>
        <v>0</v>
      </c>
      <c r="I218" s="196">
        <f>((G159*(1-'5.Closing Stock &amp; W Capital'!$D$15))+(F159*'5.Closing Stock &amp; W Capital'!$D$15))*$C218*I$172</f>
        <v>0</v>
      </c>
      <c r="J218" s="196">
        <f>((H159*(1-'5.Closing Stock &amp; W Capital'!$D$15))+(G159*'5.Closing Stock &amp; W Capital'!$D$15))*$C218*J$172</f>
        <v>0</v>
      </c>
    </row>
    <row r="219" spans="1:10" hidden="1" x14ac:dyDescent="0.35">
      <c r="A219" s="116">
        <f t="shared" si="35"/>
        <v>0</v>
      </c>
      <c r="B219" s="112" t="s">
        <v>355</v>
      </c>
      <c r="C219" s="179"/>
      <c r="D219" s="196">
        <f>(B160*(1-'5.Closing Stock &amp; W Capital'!$D$15))*$C219*D$172</f>
        <v>0</v>
      </c>
      <c r="E219" s="196">
        <f>((C160*(1-'5.Closing Stock &amp; W Capital'!$D$15))+(B160*'5.Closing Stock &amp; W Capital'!$D$15))*$C219*E$172</f>
        <v>0</v>
      </c>
      <c r="F219" s="196">
        <f>((D160*(1-'5.Closing Stock &amp; W Capital'!$D$15))+(C160*'5.Closing Stock &amp; W Capital'!$D$15))*$C219*F$172</f>
        <v>0</v>
      </c>
      <c r="G219" s="196">
        <f>((E160*(1-'5.Closing Stock &amp; W Capital'!$D$15))+(D160*'5.Closing Stock &amp; W Capital'!$D$15))*$C219*G$172</f>
        <v>0</v>
      </c>
      <c r="H219" s="196">
        <f>((F160*(1-'5.Closing Stock &amp; W Capital'!$D$15))+(E160*'5.Closing Stock &amp; W Capital'!$D$15))*$C219*H$172</f>
        <v>0</v>
      </c>
      <c r="I219" s="196">
        <f>((G160*(1-'5.Closing Stock &amp; W Capital'!$D$15))+(F160*'5.Closing Stock &amp; W Capital'!$D$15))*$C219*I$172</f>
        <v>0</v>
      </c>
      <c r="J219" s="196">
        <f>((H160*(1-'5.Closing Stock &amp; W Capital'!$D$15))+(G160*'5.Closing Stock &amp; W Capital'!$D$15))*$C219*J$172</f>
        <v>0</v>
      </c>
    </row>
    <row r="220" spans="1:10" hidden="1" x14ac:dyDescent="0.35">
      <c r="A220" s="116">
        <f t="shared" si="35"/>
        <v>0</v>
      </c>
      <c r="B220" s="112" t="s">
        <v>355</v>
      </c>
      <c r="C220" s="179"/>
      <c r="D220" s="196">
        <f>(B161*(1-'5.Closing Stock &amp; W Capital'!$D$15))*$C220*D$172</f>
        <v>0</v>
      </c>
      <c r="E220" s="196">
        <f>((C161*(1-'5.Closing Stock &amp; W Capital'!$D$15))+(B161*'5.Closing Stock &amp; W Capital'!$D$15))*$C220*E$172</f>
        <v>0</v>
      </c>
      <c r="F220" s="196">
        <f>((D161*(1-'5.Closing Stock &amp; W Capital'!$D$15))+(C161*'5.Closing Stock &amp; W Capital'!$D$15))*$C220*F$172</f>
        <v>0</v>
      </c>
      <c r="G220" s="196">
        <f>((E161*(1-'5.Closing Stock &amp; W Capital'!$D$15))+(D161*'5.Closing Stock &amp; W Capital'!$D$15))*$C220*G$172</f>
        <v>0</v>
      </c>
      <c r="H220" s="196">
        <f>((F161*(1-'5.Closing Stock &amp; W Capital'!$D$15))+(E161*'5.Closing Stock &amp; W Capital'!$D$15))*$C220*H$172</f>
        <v>0</v>
      </c>
      <c r="I220" s="196">
        <f>((G161*(1-'5.Closing Stock &amp; W Capital'!$D$15))+(F161*'5.Closing Stock &amp; W Capital'!$D$15))*$C220*I$172</f>
        <v>0</v>
      </c>
      <c r="J220" s="196">
        <f>((H161*(1-'5.Closing Stock &amp; W Capital'!$D$15))+(G161*'5.Closing Stock &amp; W Capital'!$D$15))*$C220*J$172</f>
        <v>0</v>
      </c>
    </row>
    <row r="221" spans="1:10" hidden="1" x14ac:dyDescent="0.35">
      <c r="A221" s="116">
        <f t="shared" ref="A221:A223" si="36">A162</f>
        <v>0</v>
      </c>
      <c r="B221" s="112" t="s">
        <v>355</v>
      </c>
      <c r="C221" s="179"/>
      <c r="D221" s="196">
        <f>(B162*(1-'5.Closing Stock &amp; W Capital'!$D$15))*$C221*D$172</f>
        <v>0</v>
      </c>
      <c r="E221" s="196">
        <f>((C162*(1-'5.Closing Stock &amp; W Capital'!$D$15))+(B162*'5.Closing Stock &amp; W Capital'!$D$15))*$C221*E$172</f>
        <v>0</v>
      </c>
      <c r="F221" s="196">
        <f>((D162*(1-'5.Closing Stock &amp; W Capital'!$D$15))+(C162*'5.Closing Stock &amp; W Capital'!$D$15))*$C221*F$172</f>
        <v>0</v>
      </c>
      <c r="G221" s="196">
        <f>((E162*(1-'5.Closing Stock &amp; W Capital'!$D$15))+(D162*'5.Closing Stock &amp; W Capital'!$D$15))*$C221*G$172</f>
        <v>0</v>
      </c>
      <c r="H221" s="196">
        <f>((F162*(1-'5.Closing Stock &amp; W Capital'!$D$15))+(E162*'5.Closing Stock &amp; W Capital'!$D$15))*$C221*H$172</f>
        <v>0</v>
      </c>
      <c r="I221" s="196">
        <f>((G162*(1-'5.Closing Stock &amp; W Capital'!$D$15))+(F162*'5.Closing Stock &amp; W Capital'!$D$15))*$C221*I$172</f>
        <v>0</v>
      </c>
      <c r="J221" s="196">
        <f>((H162*(1-'5.Closing Stock &amp; W Capital'!$D$15))+(G162*'5.Closing Stock &amp; W Capital'!$D$15))*$C221*J$172</f>
        <v>0</v>
      </c>
    </row>
    <row r="222" spans="1:10" hidden="1" x14ac:dyDescent="0.35">
      <c r="A222" s="116">
        <f t="shared" si="36"/>
        <v>0</v>
      </c>
      <c r="B222" s="112" t="s">
        <v>355</v>
      </c>
      <c r="C222" s="179"/>
      <c r="D222" s="196">
        <f>(B163*(1-'5.Closing Stock &amp; W Capital'!$D$15))*$C222*D$172</f>
        <v>0</v>
      </c>
      <c r="E222" s="196">
        <f>((C163*(1-'5.Closing Stock &amp; W Capital'!$D$15))+(B163*'5.Closing Stock &amp; W Capital'!$D$15))*$C222*E$172</f>
        <v>0</v>
      </c>
      <c r="F222" s="196">
        <f>((D163*(1-'5.Closing Stock &amp; W Capital'!$D$15))+(C163*'5.Closing Stock &amp; W Capital'!$D$15))*$C222*F$172</f>
        <v>0</v>
      </c>
      <c r="G222" s="196">
        <f>((E163*(1-'5.Closing Stock &amp; W Capital'!$D$15))+(D163*'5.Closing Stock &amp; W Capital'!$D$15))*$C222*G$172</f>
        <v>0</v>
      </c>
      <c r="H222" s="196">
        <f>((F163*(1-'5.Closing Stock &amp; W Capital'!$D$15))+(E163*'5.Closing Stock &amp; W Capital'!$D$15))*$C222*H$172</f>
        <v>0</v>
      </c>
      <c r="I222" s="196">
        <f>((G163*(1-'5.Closing Stock &amp; W Capital'!$D$15))+(F163*'5.Closing Stock &amp; W Capital'!$D$15))*$C222*I$172</f>
        <v>0</v>
      </c>
      <c r="J222" s="196">
        <f>((H163*(1-'5.Closing Stock &amp; W Capital'!$D$15))+(G163*'5.Closing Stock &amp; W Capital'!$D$15))*$C222*J$172</f>
        <v>0</v>
      </c>
    </row>
    <row r="223" spans="1:10" hidden="1" x14ac:dyDescent="0.35">
      <c r="A223" s="116">
        <f t="shared" si="36"/>
        <v>0</v>
      </c>
      <c r="B223" s="112" t="s">
        <v>355</v>
      </c>
      <c r="C223" s="179"/>
      <c r="D223" s="196">
        <f>(B164*(1-'5.Closing Stock &amp; W Capital'!$D$15))*$C223*D$172</f>
        <v>0</v>
      </c>
      <c r="E223" s="196">
        <f>((C164*(1-'5.Closing Stock &amp; W Capital'!$D$15))+(B164*'5.Closing Stock &amp; W Capital'!$D$15))*$C223*E$172</f>
        <v>0</v>
      </c>
      <c r="F223" s="196">
        <f>((D164*(1-'5.Closing Stock &amp; W Capital'!$D$15))+(C164*'5.Closing Stock &amp; W Capital'!$D$15))*$C223*F$172</f>
        <v>0</v>
      </c>
      <c r="G223" s="196">
        <f>((E164*(1-'5.Closing Stock &amp; W Capital'!$D$15))+(D164*'5.Closing Stock &amp; W Capital'!$D$15))*$C223*G$172</f>
        <v>0</v>
      </c>
      <c r="H223" s="196">
        <f>((F164*(1-'5.Closing Stock &amp; W Capital'!$D$15))+(E164*'5.Closing Stock &amp; W Capital'!$D$15))*$C223*H$172</f>
        <v>0</v>
      </c>
      <c r="I223" s="196">
        <f>((G164*(1-'5.Closing Stock &amp; W Capital'!$D$15))+(F164*'5.Closing Stock &amp; W Capital'!$D$15))*$C223*I$172</f>
        <v>0</v>
      </c>
      <c r="J223" s="196">
        <f>((H164*(1-'5.Closing Stock &amp; W Capital'!$D$15))+(G164*'5.Closing Stock &amp; W Capital'!$D$15))*$C223*J$172</f>
        <v>0</v>
      </c>
    </row>
    <row r="224" spans="1:10" hidden="1" x14ac:dyDescent="0.35">
      <c r="A224" s="116" t="str">
        <f t="shared" ref="A224:A227" si="37">A165</f>
        <v>Pomegranate</v>
      </c>
      <c r="B224" s="112" t="s">
        <v>355</v>
      </c>
      <c r="C224" s="179"/>
      <c r="D224" s="196">
        <f>(B165*(1-'5.Closing Stock &amp; W Capital'!$D$15))*$C224*D$172</f>
        <v>0</v>
      </c>
      <c r="E224" s="196">
        <f>((C165*(1-'5.Closing Stock &amp; W Capital'!$D$15))+(B165*'5.Closing Stock &amp; W Capital'!$D$15))*$C224*E$172</f>
        <v>0</v>
      </c>
      <c r="F224" s="196">
        <f>((D165*(1-'5.Closing Stock &amp; W Capital'!$D$15))+(C165*'5.Closing Stock &amp; W Capital'!$D$15))*$C224*F$172</f>
        <v>0</v>
      </c>
      <c r="G224" s="196">
        <f>((E165*(1-'5.Closing Stock &amp; W Capital'!$D$15))+(D165*'5.Closing Stock &amp; W Capital'!$D$15))*$C224*G$172</f>
        <v>0</v>
      </c>
      <c r="H224" s="196">
        <f>((F165*(1-'5.Closing Stock &amp; W Capital'!$D$15))+(E165*'5.Closing Stock &amp; W Capital'!$D$15))*$C224*H$172</f>
        <v>0</v>
      </c>
      <c r="I224" s="196">
        <f>((G165*(1-'5.Closing Stock &amp; W Capital'!$D$15))+(F165*'5.Closing Stock &amp; W Capital'!$D$15))*$C224*I$172</f>
        <v>0</v>
      </c>
      <c r="J224" s="196">
        <f>((H165*(1-'5.Closing Stock &amp; W Capital'!$D$15))+(G165*'5.Closing Stock &amp; W Capital'!$D$15))*$C224*J$172</f>
        <v>0</v>
      </c>
    </row>
    <row r="225" spans="1:10" hidden="1" x14ac:dyDescent="0.35">
      <c r="A225" s="116" t="str">
        <f t="shared" si="37"/>
        <v>Custard Apple</v>
      </c>
      <c r="B225" s="112" t="s">
        <v>355</v>
      </c>
      <c r="C225" s="179"/>
      <c r="D225" s="196">
        <f>(B166*(1-'5.Closing Stock &amp; W Capital'!$D$15))*$C225*D$172</f>
        <v>0</v>
      </c>
      <c r="E225" s="196">
        <f>((C166*(1-'5.Closing Stock &amp; W Capital'!$D$15))+(B166*'5.Closing Stock &amp; W Capital'!$D$15))*$C225*E$172</f>
        <v>0</v>
      </c>
      <c r="F225" s="196">
        <f>((D166*(1-'5.Closing Stock &amp; W Capital'!$D$15))+(C166*'5.Closing Stock &amp; W Capital'!$D$15))*$C225*F$172</f>
        <v>0</v>
      </c>
      <c r="G225" s="196">
        <f>((E166*(1-'5.Closing Stock &amp; W Capital'!$D$15))+(D166*'5.Closing Stock &amp; W Capital'!$D$15))*$C225*G$172</f>
        <v>0</v>
      </c>
      <c r="H225" s="196">
        <f>((F166*(1-'5.Closing Stock &amp; W Capital'!$D$15))+(E166*'5.Closing Stock &amp; W Capital'!$D$15))*$C225*H$172</f>
        <v>0</v>
      </c>
      <c r="I225" s="196">
        <f>((G166*(1-'5.Closing Stock &amp; W Capital'!$D$15))+(F166*'5.Closing Stock &amp; W Capital'!$D$15))*$C225*I$172</f>
        <v>0</v>
      </c>
      <c r="J225" s="196">
        <f>((H166*(1-'5.Closing Stock &amp; W Capital'!$D$15))+(G166*'5.Closing Stock &amp; W Capital'!$D$15))*$C225*J$172</f>
        <v>0</v>
      </c>
    </row>
    <row r="226" spans="1:10" hidden="1" x14ac:dyDescent="0.35">
      <c r="A226" s="116" t="str">
        <f t="shared" si="37"/>
        <v>Guava</v>
      </c>
      <c r="B226" s="112" t="s">
        <v>355</v>
      </c>
      <c r="C226" s="179"/>
      <c r="D226" s="196">
        <f>(B167*(1-'5.Closing Stock &amp; W Capital'!$D$15))*$C226*D$172</f>
        <v>0</v>
      </c>
      <c r="E226" s="196">
        <f>((C167*(1-'5.Closing Stock &amp; W Capital'!$D$15))+(B167*'5.Closing Stock &amp; W Capital'!$D$15))*$C226*E$172</f>
        <v>0</v>
      </c>
      <c r="F226" s="196">
        <f>((D167*(1-'5.Closing Stock &amp; W Capital'!$D$15))+(C167*'5.Closing Stock &amp; W Capital'!$D$15))*$C226*F$172</f>
        <v>0</v>
      </c>
      <c r="G226" s="196">
        <f>((E167*(1-'5.Closing Stock &amp; W Capital'!$D$15))+(D167*'5.Closing Stock &amp; W Capital'!$D$15))*$C226*G$172</f>
        <v>0</v>
      </c>
      <c r="H226" s="196">
        <f>((F167*(1-'5.Closing Stock &amp; W Capital'!$D$15))+(E167*'5.Closing Stock &amp; W Capital'!$D$15))*$C226*H$172</f>
        <v>0</v>
      </c>
      <c r="I226" s="196">
        <f>((G167*(1-'5.Closing Stock &amp; W Capital'!$D$15))+(F167*'5.Closing Stock &amp; W Capital'!$D$15))*$C226*I$172</f>
        <v>0</v>
      </c>
      <c r="J226" s="196">
        <f>((H167*(1-'5.Closing Stock &amp; W Capital'!$D$15))+(G167*'5.Closing Stock &amp; W Capital'!$D$15))*$C226*J$172</f>
        <v>0</v>
      </c>
    </row>
    <row r="227" spans="1:10" hidden="1" x14ac:dyDescent="0.35">
      <c r="A227" s="116" t="str">
        <f t="shared" si="37"/>
        <v>Citrus</v>
      </c>
      <c r="B227" s="112" t="s">
        <v>355</v>
      </c>
      <c r="C227" s="179"/>
      <c r="D227" s="196">
        <f>(B168*(1-'5.Closing Stock &amp; W Capital'!$D$15))*$C227*D$172</f>
        <v>0</v>
      </c>
      <c r="E227" s="196">
        <f>((C168*(1-'5.Closing Stock &amp; W Capital'!$D$15))+(B168*'5.Closing Stock &amp; W Capital'!$D$15))*$C227*E$172</f>
        <v>0</v>
      </c>
      <c r="F227" s="196">
        <f>((D168*(1-'5.Closing Stock &amp; W Capital'!$D$15))+(C168*'5.Closing Stock &amp; W Capital'!$D$15))*$C227*F$172</f>
        <v>0</v>
      </c>
      <c r="G227" s="196">
        <f>((E168*(1-'5.Closing Stock &amp; W Capital'!$D$15))+(D168*'5.Closing Stock &amp; W Capital'!$D$15))*$C227*G$172</f>
        <v>0</v>
      </c>
      <c r="H227" s="196">
        <f>((F168*(1-'5.Closing Stock &amp; W Capital'!$D$15))+(E168*'5.Closing Stock &amp; W Capital'!$D$15))*$C227*H$172</f>
        <v>0</v>
      </c>
      <c r="I227" s="196">
        <f>((G168*(1-'5.Closing Stock &amp; W Capital'!$D$15))+(F168*'5.Closing Stock &amp; W Capital'!$D$15))*$C227*I$172</f>
        <v>0</v>
      </c>
      <c r="J227" s="196">
        <f>((H168*(1-'5.Closing Stock &amp; W Capital'!$D$15))+(G168*'5.Closing Stock &amp; W Capital'!$D$15))*$C227*J$172</f>
        <v>0</v>
      </c>
    </row>
    <row r="228" spans="1:10" x14ac:dyDescent="0.35">
      <c r="A228" s="116"/>
      <c r="B228" s="116"/>
      <c r="C228" s="116"/>
      <c r="D228" s="112"/>
      <c r="E228" s="112"/>
      <c r="F228" s="112"/>
      <c r="G228" s="112"/>
      <c r="H228" s="112"/>
      <c r="I228" s="112"/>
      <c r="J228" s="112"/>
    </row>
    <row r="229" spans="1:10" x14ac:dyDescent="0.35">
      <c r="A229" s="116" t="s">
        <v>141</v>
      </c>
      <c r="B229" s="116"/>
      <c r="C229" s="116"/>
      <c r="D229" s="198">
        <f t="shared" ref="D229:J229" si="38">SUM(D178:D228)</f>
        <v>72700218.471037492</v>
      </c>
      <c r="E229" s="198">
        <f t="shared" si="38"/>
        <v>85507170.371677712</v>
      </c>
      <c r="F229" s="198">
        <f t="shared" si="38"/>
        <v>97959261.870644554</v>
      </c>
      <c r="G229" s="198">
        <f t="shared" si="38"/>
        <v>111442794.59357895</v>
      </c>
      <c r="H229" s="198">
        <f t="shared" si="38"/>
        <v>126029782.43413009</v>
      </c>
      <c r="I229" s="198">
        <f t="shared" si="38"/>
        <v>141796862.07225248</v>
      </c>
      <c r="J229" s="198">
        <f t="shared" si="38"/>
        <v>158825575.21810174</v>
      </c>
    </row>
    <row r="230" spans="1:10" x14ac:dyDescent="0.35">
      <c r="A230" s="112"/>
      <c r="B230" s="112"/>
      <c r="C230" s="112"/>
      <c r="D230" s="112"/>
      <c r="E230" s="112"/>
      <c r="F230" s="112"/>
      <c r="G230" s="112"/>
      <c r="H230" s="112"/>
      <c r="I230" s="112"/>
      <c r="J230" s="112"/>
    </row>
    <row r="231" spans="1:10" x14ac:dyDescent="0.35">
      <c r="A231" s="116" t="s">
        <v>140</v>
      </c>
      <c r="B231" s="116"/>
      <c r="C231" s="116"/>
      <c r="D231" s="112"/>
      <c r="E231" s="112"/>
      <c r="F231" s="112"/>
      <c r="G231" s="112"/>
      <c r="H231" s="112"/>
      <c r="I231" s="112"/>
      <c r="J231" s="112"/>
    </row>
    <row r="232" spans="1:10" x14ac:dyDescent="0.35">
      <c r="A232" s="116" t="s">
        <v>310</v>
      </c>
      <c r="B232" s="116"/>
      <c r="C232" s="112"/>
      <c r="D232" s="112"/>
      <c r="E232" s="112"/>
      <c r="F232" s="112"/>
      <c r="G232" s="112"/>
      <c r="H232" s="112"/>
      <c r="I232" s="112"/>
      <c r="J232" s="112"/>
    </row>
    <row r="233" spans="1:10" x14ac:dyDescent="0.35">
      <c r="A233" s="112" t="str">
        <f t="shared" ref="A233:A254" si="39">A178</f>
        <v>Soybean</v>
      </c>
      <c r="B233" s="112" t="s">
        <v>355</v>
      </c>
      <c r="C233" s="114">
        <v>6000</v>
      </c>
      <c r="D233" s="115">
        <f>B68*$C$233*D$172</f>
        <v>38942268.75</v>
      </c>
      <c r="E233" s="115">
        <f>C68*$C$233*E$172</f>
        <v>44978320.406250007</v>
      </c>
      <c r="F233" s="115">
        <f>D68*$C$233*F172</f>
        <v>51520621.556250013</v>
      </c>
      <c r="G233" s="115">
        <f>E68*$C$233*G172</f>
        <v>58604707.020234391</v>
      </c>
      <c r="H233" s="115">
        <f>F68*$C$233*H172</f>
        <v>66268399.476726592</v>
      </c>
      <c r="I233" s="115">
        <f>G68*$C$233*I172</f>
        <v>74551949.411317423</v>
      </c>
      <c r="J233" s="115">
        <f>H68*$C$233*J172</f>
        <v>83498183.340675518</v>
      </c>
    </row>
    <row r="234" spans="1:10" x14ac:dyDescent="0.35">
      <c r="A234" s="112" t="str">
        <f t="shared" si="39"/>
        <v>Tur</v>
      </c>
      <c r="B234" s="112" t="s">
        <v>355</v>
      </c>
      <c r="C234" s="114">
        <v>6200</v>
      </c>
      <c r="D234" s="115">
        <f>B69*$C$234*D$172</f>
        <v>5148596.25</v>
      </c>
      <c r="E234" s="115">
        <f t="shared" ref="E234:J234" si="40">C69*$C$234*E172</f>
        <v>5946628.6687500011</v>
      </c>
      <c r="F234" s="115">
        <f t="shared" si="40"/>
        <v>6811592.838750001</v>
      </c>
      <c r="G234" s="115">
        <f t="shared" si="40"/>
        <v>7748186.8540781271</v>
      </c>
      <c r="H234" s="115">
        <f t="shared" si="40"/>
        <v>8761411.2888421919</v>
      </c>
      <c r="I234" s="115">
        <f t="shared" si="40"/>
        <v>9856587.6999474671</v>
      </c>
      <c r="J234" s="115">
        <f t="shared" si="40"/>
        <v>11039378.223941164</v>
      </c>
    </row>
    <row r="235" spans="1:10" hidden="1" x14ac:dyDescent="0.35">
      <c r="A235" s="112" t="str">
        <f t="shared" si="39"/>
        <v>Turmeric</v>
      </c>
      <c r="B235" s="112" t="s">
        <v>355</v>
      </c>
      <c r="C235" s="114">
        <v>0</v>
      </c>
      <c r="D235" s="115">
        <f>B70*$C$235*D$172</f>
        <v>0</v>
      </c>
      <c r="E235" s="115">
        <f t="shared" ref="E235:J235" si="41">C70*$C$235*E172</f>
        <v>0</v>
      </c>
      <c r="F235" s="115">
        <f t="shared" si="41"/>
        <v>0</v>
      </c>
      <c r="G235" s="115">
        <f t="shared" si="41"/>
        <v>0</v>
      </c>
      <c r="H235" s="115">
        <f t="shared" si="41"/>
        <v>0</v>
      </c>
      <c r="I235" s="115">
        <f t="shared" si="41"/>
        <v>0</v>
      </c>
      <c r="J235" s="115">
        <f t="shared" si="41"/>
        <v>0</v>
      </c>
    </row>
    <row r="236" spans="1:10" x14ac:dyDescent="0.35">
      <c r="A236" s="112" t="str">
        <f t="shared" si="39"/>
        <v>Moong</v>
      </c>
      <c r="B236" s="112" t="s">
        <v>355</v>
      </c>
      <c r="C236" s="114">
        <v>5400</v>
      </c>
      <c r="D236" s="115">
        <f t="shared" ref="D236:J236" si="42">B71*$C$236*D$172</f>
        <v>2336536.125</v>
      </c>
      <c r="E236" s="115">
        <f t="shared" si="42"/>
        <v>2698699.2243750002</v>
      </c>
      <c r="F236" s="115">
        <f t="shared" si="42"/>
        <v>3091237.2933750008</v>
      </c>
      <c r="G236" s="115">
        <f t="shared" si="42"/>
        <v>3516282.4212140637</v>
      </c>
      <c r="H236" s="115">
        <f t="shared" si="42"/>
        <v>3976103.9686035952</v>
      </c>
      <c r="I236" s="115">
        <f t="shared" si="42"/>
        <v>4473116.9646790456</v>
      </c>
      <c r="J236" s="115">
        <f t="shared" si="42"/>
        <v>5009891.0004405314</v>
      </c>
    </row>
    <row r="237" spans="1:10" hidden="1" x14ac:dyDescent="0.35">
      <c r="A237" s="112" t="str">
        <f t="shared" si="39"/>
        <v>Maize</v>
      </c>
      <c r="B237" s="112" t="s">
        <v>355</v>
      </c>
      <c r="C237" s="114">
        <v>0</v>
      </c>
      <c r="D237" s="115">
        <f t="shared" ref="D237:J237" si="43">B72*$C$237*D$172</f>
        <v>0</v>
      </c>
      <c r="E237" s="115">
        <f t="shared" si="43"/>
        <v>0</v>
      </c>
      <c r="F237" s="115">
        <f t="shared" si="43"/>
        <v>0</v>
      </c>
      <c r="G237" s="115">
        <f t="shared" si="43"/>
        <v>0</v>
      </c>
      <c r="H237" s="115">
        <f t="shared" si="43"/>
        <v>0</v>
      </c>
      <c r="I237" s="115">
        <f t="shared" si="43"/>
        <v>0</v>
      </c>
      <c r="J237" s="115">
        <f t="shared" si="43"/>
        <v>0</v>
      </c>
    </row>
    <row r="238" spans="1:10" x14ac:dyDescent="0.35">
      <c r="A238" s="112" t="str">
        <f t="shared" si="39"/>
        <v>Udid</v>
      </c>
      <c r="B238" s="112" t="s">
        <v>355</v>
      </c>
      <c r="C238" s="114">
        <v>5600</v>
      </c>
      <c r="D238" s="115">
        <f t="shared" ref="D238:J238" si="44">B73*$C$238*D$172</f>
        <v>2423074.5</v>
      </c>
      <c r="E238" s="115">
        <f t="shared" si="44"/>
        <v>2798651.0475000003</v>
      </c>
      <c r="F238" s="115">
        <f t="shared" si="44"/>
        <v>3205727.5635000006</v>
      </c>
      <c r="G238" s="115">
        <f t="shared" si="44"/>
        <v>3646515.1034812508</v>
      </c>
      <c r="H238" s="115">
        <f t="shared" si="44"/>
        <v>4123367.0785518768</v>
      </c>
      <c r="I238" s="115">
        <f t="shared" si="44"/>
        <v>4638787.9633708615</v>
      </c>
      <c r="J238" s="115">
        <f t="shared" si="44"/>
        <v>5195442.5189753659</v>
      </c>
    </row>
    <row r="239" spans="1:10" hidden="1" x14ac:dyDescent="0.35">
      <c r="A239" s="112" t="str">
        <f t="shared" si="39"/>
        <v>Bajra</v>
      </c>
      <c r="B239" s="112" t="s">
        <v>355</v>
      </c>
      <c r="C239" s="114">
        <v>0</v>
      </c>
      <c r="D239" s="115">
        <f t="shared" ref="D239:J239" si="45">B74*$C$239*D$172</f>
        <v>0</v>
      </c>
      <c r="E239" s="115">
        <f t="shared" si="45"/>
        <v>0</v>
      </c>
      <c r="F239" s="115">
        <f t="shared" si="45"/>
        <v>0</v>
      </c>
      <c r="G239" s="115">
        <f t="shared" si="45"/>
        <v>0</v>
      </c>
      <c r="H239" s="115">
        <f t="shared" si="45"/>
        <v>0</v>
      </c>
      <c r="I239" s="115">
        <f t="shared" si="45"/>
        <v>0</v>
      </c>
      <c r="J239" s="115">
        <f t="shared" si="45"/>
        <v>0</v>
      </c>
    </row>
    <row r="240" spans="1:10" x14ac:dyDescent="0.35">
      <c r="A240" s="112" t="str">
        <f t="shared" si="39"/>
        <v>Jawar</v>
      </c>
      <c r="B240" s="112" t="s">
        <v>355</v>
      </c>
      <c r="C240" s="114">
        <v>2700</v>
      </c>
      <c r="D240" s="115">
        <f t="shared" ref="D240:J240" si="46">B75*$C$240*D$172</f>
        <v>1144666.6875</v>
      </c>
      <c r="E240" s="115">
        <f t="shared" si="46"/>
        <v>1322090.0240625003</v>
      </c>
      <c r="F240" s="115">
        <f t="shared" si="46"/>
        <v>1514394.0275625004</v>
      </c>
      <c r="G240" s="115">
        <f t="shared" si="46"/>
        <v>1722623.2063523442</v>
      </c>
      <c r="H240" s="115">
        <f t="shared" si="46"/>
        <v>1947889.3179522669</v>
      </c>
      <c r="I240" s="115">
        <f t="shared" si="46"/>
        <v>2191375.4826963004</v>
      </c>
      <c r="J240" s="115">
        <f t="shared" si="46"/>
        <v>2454340.5406198567</v>
      </c>
    </row>
    <row r="241" spans="1:10" hidden="1" x14ac:dyDescent="0.35">
      <c r="A241" s="112">
        <f t="shared" si="39"/>
        <v>0</v>
      </c>
      <c r="B241" s="112" t="s">
        <v>355</v>
      </c>
      <c r="C241" s="114"/>
      <c r="D241" s="115">
        <f t="shared" ref="D241:J241" si="47">B76*$C$241*D$172</f>
        <v>0</v>
      </c>
      <c r="E241" s="115">
        <f t="shared" si="47"/>
        <v>0</v>
      </c>
      <c r="F241" s="115">
        <f t="shared" si="47"/>
        <v>0</v>
      </c>
      <c r="G241" s="115">
        <f t="shared" si="47"/>
        <v>0</v>
      </c>
      <c r="H241" s="115">
        <f t="shared" si="47"/>
        <v>0</v>
      </c>
      <c r="I241" s="115">
        <f t="shared" si="47"/>
        <v>0</v>
      </c>
      <c r="J241" s="115">
        <f t="shared" si="47"/>
        <v>0</v>
      </c>
    </row>
    <row r="242" spans="1:10" x14ac:dyDescent="0.35">
      <c r="A242" s="112" t="str">
        <f t="shared" si="39"/>
        <v>Wheat</v>
      </c>
      <c r="B242" s="112" t="s">
        <v>355</v>
      </c>
      <c r="C242" s="114">
        <v>1800</v>
      </c>
      <c r="D242" s="115">
        <f t="shared" ref="D242:J242" si="48">B77*$C$242*D$172</f>
        <v>1537461</v>
      </c>
      <c r="E242" s="115">
        <f t="shared" si="48"/>
        <v>1775767.4550000001</v>
      </c>
      <c r="F242" s="115">
        <f t="shared" si="48"/>
        <v>2034060.9030000002</v>
      </c>
      <c r="G242" s="115">
        <f t="shared" si="48"/>
        <v>2313744.2771625007</v>
      </c>
      <c r="H242" s="115">
        <f t="shared" si="48"/>
        <v>2616310.8364837514</v>
      </c>
      <c r="I242" s="115">
        <f t="shared" si="48"/>
        <v>2943349.6910442207</v>
      </c>
      <c r="J242" s="115">
        <f t="shared" si="48"/>
        <v>3296551.6539695272</v>
      </c>
    </row>
    <row r="243" spans="1:10" x14ac:dyDescent="0.35">
      <c r="A243" s="112" t="str">
        <f t="shared" si="39"/>
        <v>Channa</v>
      </c>
      <c r="B243" s="112" t="s">
        <v>355</v>
      </c>
      <c r="C243" s="114">
        <v>5000</v>
      </c>
      <c r="D243" s="115">
        <f t="shared" ref="D243:J243" si="49">B78*$C$243*D$172</f>
        <v>14947537.5</v>
      </c>
      <c r="E243" s="115">
        <f t="shared" si="49"/>
        <v>17264405.812500004</v>
      </c>
      <c r="F243" s="115">
        <f t="shared" si="49"/>
        <v>19775592.112500004</v>
      </c>
      <c r="G243" s="115">
        <f t="shared" si="49"/>
        <v>22494736.027968757</v>
      </c>
      <c r="H243" s="115">
        <f t="shared" si="49"/>
        <v>25436355.35470314</v>
      </c>
      <c r="I243" s="115">
        <f t="shared" si="49"/>
        <v>28615899.774041034</v>
      </c>
      <c r="J243" s="115">
        <f t="shared" si="49"/>
        <v>32049807.746925961</v>
      </c>
    </row>
    <row r="244" spans="1:10" x14ac:dyDescent="0.35">
      <c r="A244" s="112" t="str">
        <f t="shared" si="39"/>
        <v>Jawar</v>
      </c>
      <c r="B244" s="112" t="s">
        <v>355</v>
      </c>
      <c r="C244" s="114">
        <v>2700</v>
      </c>
      <c r="D244" s="115">
        <f t="shared" ref="D244:J244" si="50">B79*$C$244*D$172</f>
        <v>1373600.0250000001</v>
      </c>
      <c r="E244" s="115">
        <f t="shared" si="50"/>
        <v>1586508.0288750003</v>
      </c>
      <c r="F244" s="115">
        <f t="shared" si="50"/>
        <v>1817272.8330750007</v>
      </c>
      <c r="G244" s="115">
        <f t="shared" si="50"/>
        <v>2067147.8476228134</v>
      </c>
      <c r="H244" s="115">
        <f t="shared" si="50"/>
        <v>2337467.1815427202</v>
      </c>
      <c r="I244" s="115">
        <f t="shared" si="50"/>
        <v>2629650.5792355607</v>
      </c>
      <c r="J244" s="115">
        <f t="shared" si="50"/>
        <v>2945208.6487438278</v>
      </c>
    </row>
    <row r="245" spans="1:10" hidden="1" x14ac:dyDescent="0.35">
      <c r="A245" s="112" t="str">
        <f t="shared" si="39"/>
        <v>Maize</v>
      </c>
      <c r="B245" s="112" t="s">
        <v>355</v>
      </c>
      <c r="C245" s="114"/>
      <c r="D245" s="115">
        <f t="shared" ref="D245:J245" si="51">B80*$C$245*D$172</f>
        <v>0</v>
      </c>
      <c r="E245" s="115">
        <f t="shared" si="51"/>
        <v>0</v>
      </c>
      <c r="F245" s="115">
        <f t="shared" si="51"/>
        <v>0</v>
      </c>
      <c r="G245" s="115">
        <f t="shared" si="51"/>
        <v>0</v>
      </c>
      <c r="H245" s="115">
        <f t="shared" si="51"/>
        <v>0</v>
      </c>
      <c r="I245" s="115">
        <f t="shared" si="51"/>
        <v>0</v>
      </c>
      <c r="J245" s="115">
        <f t="shared" si="51"/>
        <v>0</v>
      </c>
    </row>
    <row r="246" spans="1:10" hidden="1" x14ac:dyDescent="0.35">
      <c r="A246" s="112" t="str">
        <f t="shared" si="39"/>
        <v>Safflower</v>
      </c>
      <c r="B246" s="112" t="s">
        <v>355</v>
      </c>
      <c r="C246" s="114"/>
      <c r="D246" s="115">
        <f t="shared" ref="D246:J246" si="52">B81*$C$246*D$172</f>
        <v>0</v>
      </c>
      <c r="E246" s="115">
        <f t="shared" si="52"/>
        <v>0</v>
      </c>
      <c r="F246" s="115">
        <f t="shared" si="52"/>
        <v>0</v>
      </c>
      <c r="G246" s="115">
        <f t="shared" si="52"/>
        <v>0</v>
      </c>
      <c r="H246" s="115">
        <f t="shared" si="52"/>
        <v>0</v>
      </c>
      <c r="I246" s="115">
        <f t="shared" si="52"/>
        <v>0</v>
      </c>
      <c r="J246" s="115">
        <f t="shared" si="52"/>
        <v>0</v>
      </c>
    </row>
    <row r="247" spans="1:10" hidden="1" x14ac:dyDescent="0.35">
      <c r="A247" s="112" t="str">
        <f t="shared" si="39"/>
        <v>Groundnut</v>
      </c>
      <c r="B247" s="112" t="s">
        <v>355</v>
      </c>
      <c r="C247" s="114"/>
      <c r="D247" s="115">
        <f t="shared" ref="D247:J247" si="53">B82*$C$247*D$172</f>
        <v>0</v>
      </c>
      <c r="E247" s="115">
        <f t="shared" si="53"/>
        <v>0</v>
      </c>
      <c r="F247" s="115">
        <f t="shared" si="53"/>
        <v>0</v>
      </c>
      <c r="G247" s="115">
        <f t="shared" si="53"/>
        <v>0</v>
      </c>
      <c r="H247" s="115">
        <f t="shared" si="53"/>
        <v>0</v>
      </c>
      <c r="I247" s="115">
        <f t="shared" si="53"/>
        <v>0</v>
      </c>
      <c r="J247" s="115">
        <f t="shared" si="53"/>
        <v>0</v>
      </c>
    </row>
    <row r="248" spans="1:10" hidden="1" x14ac:dyDescent="0.35">
      <c r="A248" s="112">
        <f t="shared" si="39"/>
        <v>0</v>
      </c>
      <c r="B248" s="112" t="s">
        <v>355</v>
      </c>
      <c r="C248" s="114"/>
      <c r="D248" s="115">
        <f t="shared" ref="D248:J248" si="54">B83*$C$248*D$172</f>
        <v>0</v>
      </c>
      <c r="E248" s="115">
        <f t="shared" si="54"/>
        <v>0</v>
      </c>
      <c r="F248" s="115">
        <f t="shared" si="54"/>
        <v>0</v>
      </c>
      <c r="G248" s="115">
        <f t="shared" si="54"/>
        <v>0</v>
      </c>
      <c r="H248" s="115">
        <f t="shared" si="54"/>
        <v>0</v>
      </c>
      <c r="I248" s="115">
        <f t="shared" si="54"/>
        <v>0</v>
      </c>
      <c r="J248" s="115">
        <f t="shared" si="54"/>
        <v>0</v>
      </c>
    </row>
    <row r="249" spans="1:10" hidden="1" x14ac:dyDescent="0.35">
      <c r="A249" s="112">
        <f t="shared" si="39"/>
        <v>0</v>
      </c>
      <c r="B249" s="112" t="s">
        <v>355</v>
      </c>
      <c r="C249" s="114"/>
      <c r="D249" s="115">
        <f t="shared" ref="D249:J255" si="55">B84*$C249*D$172</f>
        <v>0</v>
      </c>
      <c r="E249" s="115">
        <f t="shared" si="55"/>
        <v>0</v>
      </c>
      <c r="F249" s="115">
        <f t="shared" si="55"/>
        <v>0</v>
      </c>
      <c r="G249" s="115">
        <f t="shared" si="55"/>
        <v>0</v>
      </c>
      <c r="H249" s="115">
        <f t="shared" si="55"/>
        <v>0</v>
      </c>
      <c r="I249" s="115">
        <f t="shared" si="55"/>
        <v>0</v>
      </c>
      <c r="J249" s="115">
        <f t="shared" si="55"/>
        <v>0</v>
      </c>
    </row>
    <row r="250" spans="1:10" hidden="1" x14ac:dyDescent="0.35">
      <c r="A250" s="112" t="str">
        <f t="shared" si="39"/>
        <v>Soybean</v>
      </c>
      <c r="B250" s="112" t="s">
        <v>355</v>
      </c>
      <c r="C250" s="114"/>
      <c r="D250" s="115">
        <f t="shared" si="55"/>
        <v>0</v>
      </c>
      <c r="E250" s="115">
        <f t="shared" si="55"/>
        <v>0</v>
      </c>
      <c r="F250" s="115">
        <f t="shared" si="55"/>
        <v>0</v>
      </c>
      <c r="G250" s="115">
        <f t="shared" si="55"/>
        <v>0</v>
      </c>
      <c r="H250" s="115">
        <f t="shared" si="55"/>
        <v>0</v>
      </c>
      <c r="I250" s="115">
        <f t="shared" si="55"/>
        <v>0</v>
      </c>
      <c r="J250" s="115">
        <f t="shared" si="55"/>
        <v>0</v>
      </c>
    </row>
    <row r="251" spans="1:10" hidden="1" x14ac:dyDescent="0.35">
      <c r="A251" s="112">
        <f t="shared" si="39"/>
        <v>0</v>
      </c>
      <c r="B251" s="112" t="s">
        <v>355</v>
      </c>
      <c r="C251" s="114"/>
      <c r="D251" s="115">
        <f t="shared" si="55"/>
        <v>0</v>
      </c>
      <c r="E251" s="115">
        <f t="shared" si="55"/>
        <v>0</v>
      </c>
      <c r="F251" s="115">
        <f t="shared" si="55"/>
        <v>0</v>
      </c>
      <c r="G251" s="115">
        <f t="shared" si="55"/>
        <v>0</v>
      </c>
      <c r="H251" s="115">
        <f t="shared" si="55"/>
        <v>0</v>
      </c>
      <c r="I251" s="115">
        <f t="shared" si="55"/>
        <v>0</v>
      </c>
      <c r="J251" s="115">
        <f t="shared" si="55"/>
        <v>0</v>
      </c>
    </row>
    <row r="252" spans="1:10" hidden="1" x14ac:dyDescent="0.35">
      <c r="A252" s="112">
        <f t="shared" si="39"/>
        <v>0</v>
      </c>
      <c r="B252" s="112" t="s">
        <v>355</v>
      </c>
      <c r="C252" s="114"/>
      <c r="D252" s="115">
        <f t="shared" si="55"/>
        <v>0</v>
      </c>
      <c r="E252" s="115">
        <f t="shared" si="55"/>
        <v>0</v>
      </c>
      <c r="F252" s="115">
        <f t="shared" si="55"/>
        <v>0</v>
      </c>
      <c r="G252" s="115">
        <f t="shared" si="55"/>
        <v>0</v>
      </c>
      <c r="H252" s="115">
        <f t="shared" si="55"/>
        <v>0</v>
      </c>
      <c r="I252" s="115">
        <f t="shared" si="55"/>
        <v>0</v>
      </c>
      <c r="J252" s="115">
        <f t="shared" si="55"/>
        <v>0</v>
      </c>
    </row>
    <row r="253" spans="1:10" hidden="1" x14ac:dyDescent="0.35">
      <c r="A253" s="112">
        <f t="shared" si="39"/>
        <v>0</v>
      </c>
      <c r="B253" s="112" t="s">
        <v>355</v>
      </c>
      <c r="C253" s="114"/>
      <c r="D253" s="115">
        <f t="shared" si="55"/>
        <v>0</v>
      </c>
      <c r="E253" s="115">
        <f t="shared" si="55"/>
        <v>0</v>
      </c>
      <c r="F253" s="115">
        <f t="shared" si="55"/>
        <v>0</v>
      </c>
      <c r="G253" s="115">
        <f t="shared" si="55"/>
        <v>0</v>
      </c>
      <c r="H253" s="115">
        <f t="shared" si="55"/>
        <v>0</v>
      </c>
      <c r="I253" s="115">
        <f t="shared" si="55"/>
        <v>0</v>
      </c>
      <c r="J253" s="115">
        <f t="shared" si="55"/>
        <v>0</v>
      </c>
    </row>
    <row r="254" spans="1:10" hidden="1" x14ac:dyDescent="0.35">
      <c r="A254" s="112">
        <f t="shared" si="39"/>
        <v>0</v>
      </c>
      <c r="B254" s="112" t="s">
        <v>355</v>
      </c>
      <c r="C254" s="114"/>
      <c r="D254" s="115">
        <f t="shared" si="55"/>
        <v>0</v>
      </c>
      <c r="E254" s="115">
        <f t="shared" si="55"/>
        <v>0</v>
      </c>
      <c r="F254" s="115">
        <f t="shared" si="55"/>
        <v>0</v>
      </c>
      <c r="G254" s="115">
        <f t="shared" si="55"/>
        <v>0</v>
      </c>
      <c r="H254" s="115">
        <f t="shared" si="55"/>
        <v>0</v>
      </c>
      <c r="I254" s="115">
        <f t="shared" si="55"/>
        <v>0</v>
      </c>
      <c r="J254" s="115">
        <f t="shared" si="55"/>
        <v>0</v>
      </c>
    </row>
    <row r="255" spans="1:10" hidden="1" x14ac:dyDescent="0.35">
      <c r="A255" s="112">
        <f t="shared" ref="A255:A274" si="56">A201</f>
        <v>0</v>
      </c>
      <c r="B255" s="112"/>
      <c r="C255" s="114"/>
      <c r="D255" s="115">
        <f t="shared" si="55"/>
        <v>0</v>
      </c>
      <c r="E255" s="115">
        <f t="shared" si="55"/>
        <v>0</v>
      </c>
      <c r="F255" s="115">
        <f t="shared" si="55"/>
        <v>0</v>
      </c>
      <c r="G255" s="115">
        <f t="shared" si="55"/>
        <v>0</v>
      </c>
      <c r="H255" s="115">
        <f t="shared" si="55"/>
        <v>0</v>
      </c>
      <c r="I255" s="115">
        <f t="shared" si="55"/>
        <v>0</v>
      </c>
      <c r="J255" s="115">
        <f t="shared" si="55"/>
        <v>0</v>
      </c>
    </row>
    <row r="256" spans="1:10" hidden="1" x14ac:dyDescent="0.35">
      <c r="A256" s="116" t="str">
        <f t="shared" si="56"/>
        <v>Fruit  &amp; Vegetables Crop Production Details</v>
      </c>
      <c r="B256" s="112"/>
      <c r="C256" s="114"/>
      <c r="D256" s="115"/>
      <c r="E256" s="115"/>
      <c r="F256" s="115"/>
      <c r="G256" s="115"/>
      <c r="H256" s="115"/>
      <c r="I256" s="115"/>
      <c r="J256" s="115"/>
    </row>
    <row r="257" spans="1:10" hidden="1" x14ac:dyDescent="0.35">
      <c r="A257" s="112" t="str">
        <f t="shared" si="56"/>
        <v>Onion</v>
      </c>
      <c r="B257" s="112" t="s">
        <v>355</v>
      </c>
      <c r="C257" s="114">
        <f>+C203*95/100</f>
        <v>0</v>
      </c>
      <c r="D257" s="115">
        <f t="shared" ref="D257:D274" si="57">B92*$C257*D$172</f>
        <v>0</v>
      </c>
      <c r="E257" s="115">
        <f t="shared" ref="E257:E274" si="58">C92*$C257*E$172</f>
        <v>0</v>
      </c>
      <c r="F257" s="115">
        <f t="shared" ref="F257:F274" si="59">D92*$C257*F$172</f>
        <v>0</v>
      </c>
      <c r="G257" s="115">
        <f t="shared" ref="G257:G274" si="60">E92*$C257*G$172</f>
        <v>0</v>
      </c>
      <c r="H257" s="115">
        <f t="shared" ref="H257:H274" si="61">F92*$C257*H$172</f>
        <v>0</v>
      </c>
      <c r="I257" s="115">
        <f t="shared" ref="I257:I274" si="62">G92*$C257*I$172</f>
        <v>0</v>
      </c>
      <c r="J257" s="115">
        <f t="shared" ref="J257:J274" si="63">H92*$C257*J$172</f>
        <v>0</v>
      </c>
    </row>
    <row r="258" spans="1:10" hidden="1" x14ac:dyDescent="0.35">
      <c r="A258" s="112" t="str">
        <f t="shared" si="56"/>
        <v>Tomato</v>
      </c>
      <c r="B258" s="112" t="s">
        <v>355</v>
      </c>
      <c r="C258" s="114">
        <f>+C204*95/100</f>
        <v>0</v>
      </c>
      <c r="D258" s="115">
        <f t="shared" si="57"/>
        <v>0</v>
      </c>
      <c r="E258" s="115">
        <f t="shared" si="58"/>
        <v>0</v>
      </c>
      <c r="F258" s="115">
        <f t="shared" si="59"/>
        <v>0</v>
      </c>
      <c r="G258" s="115">
        <f t="shared" si="60"/>
        <v>0</v>
      </c>
      <c r="H258" s="115">
        <f t="shared" si="61"/>
        <v>0</v>
      </c>
      <c r="I258" s="115">
        <f t="shared" si="62"/>
        <v>0</v>
      </c>
      <c r="J258" s="115">
        <f t="shared" si="63"/>
        <v>0</v>
      </c>
    </row>
    <row r="259" spans="1:10" hidden="1" x14ac:dyDescent="0.35">
      <c r="A259" s="112" t="str">
        <f t="shared" si="56"/>
        <v>Okra</v>
      </c>
      <c r="B259" s="112" t="s">
        <v>355</v>
      </c>
      <c r="C259" s="114">
        <v>0</v>
      </c>
      <c r="D259" s="115">
        <f t="shared" si="57"/>
        <v>0</v>
      </c>
      <c r="E259" s="115">
        <f t="shared" si="58"/>
        <v>0</v>
      </c>
      <c r="F259" s="115">
        <f t="shared" si="59"/>
        <v>0</v>
      </c>
      <c r="G259" s="115">
        <f t="shared" si="60"/>
        <v>0</v>
      </c>
      <c r="H259" s="115">
        <f t="shared" si="61"/>
        <v>0</v>
      </c>
      <c r="I259" s="115">
        <f t="shared" si="62"/>
        <v>0</v>
      </c>
      <c r="J259" s="115">
        <f t="shared" si="63"/>
        <v>0</v>
      </c>
    </row>
    <row r="260" spans="1:10" hidden="1" x14ac:dyDescent="0.35">
      <c r="A260" s="112" t="str">
        <f t="shared" si="56"/>
        <v>Chilli</v>
      </c>
      <c r="B260" s="112" t="s">
        <v>355</v>
      </c>
      <c r="C260" s="114">
        <f>+C206*95/100</f>
        <v>0</v>
      </c>
      <c r="D260" s="115">
        <f t="shared" si="57"/>
        <v>0</v>
      </c>
      <c r="E260" s="115">
        <f t="shared" si="58"/>
        <v>0</v>
      </c>
      <c r="F260" s="115">
        <f t="shared" si="59"/>
        <v>0</v>
      </c>
      <c r="G260" s="115">
        <f t="shared" si="60"/>
        <v>0</v>
      </c>
      <c r="H260" s="115">
        <f t="shared" si="61"/>
        <v>0</v>
      </c>
      <c r="I260" s="115">
        <f t="shared" si="62"/>
        <v>0</v>
      </c>
      <c r="J260" s="115">
        <f t="shared" si="63"/>
        <v>0</v>
      </c>
    </row>
    <row r="261" spans="1:10" hidden="1" x14ac:dyDescent="0.35">
      <c r="A261" s="112" t="str">
        <f t="shared" si="56"/>
        <v>Potato</v>
      </c>
      <c r="B261" s="112" t="s">
        <v>355</v>
      </c>
      <c r="C261" s="114">
        <f>+C207*95/100</f>
        <v>0</v>
      </c>
      <c r="D261" s="115">
        <f t="shared" si="57"/>
        <v>0</v>
      </c>
      <c r="E261" s="115">
        <f t="shared" si="58"/>
        <v>0</v>
      </c>
      <c r="F261" s="115">
        <f t="shared" si="59"/>
        <v>0</v>
      </c>
      <c r="G261" s="115">
        <f t="shared" si="60"/>
        <v>0</v>
      </c>
      <c r="H261" s="115">
        <f t="shared" si="61"/>
        <v>0</v>
      </c>
      <c r="I261" s="115">
        <f t="shared" si="62"/>
        <v>0</v>
      </c>
      <c r="J261" s="115">
        <f t="shared" si="63"/>
        <v>0</v>
      </c>
    </row>
    <row r="262" spans="1:10" hidden="1" x14ac:dyDescent="0.35">
      <c r="A262" s="112">
        <f t="shared" si="56"/>
        <v>0</v>
      </c>
      <c r="B262" s="112" t="s">
        <v>355</v>
      </c>
      <c r="C262" s="114"/>
      <c r="D262" s="115">
        <f t="shared" si="57"/>
        <v>0</v>
      </c>
      <c r="E262" s="115">
        <f t="shared" si="58"/>
        <v>0</v>
      </c>
      <c r="F262" s="115">
        <f t="shared" si="59"/>
        <v>0</v>
      </c>
      <c r="G262" s="115">
        <f t="shared" si="60"/>
        <v>0</v>
      </c>
      <c r="H262" s="115">
        <f t="shared" si="61"/>
        <v>0</v>
      </c>
      <c r="I262" s="115">
        <f t="shared" si="62"/>
        <v>0</v>
      </c>
      <c r="J262" s="115">
        <f t="shared" si="63"/>
        <v>0</v>
      </c>
    </row>
    <row r="263" spans="1:10" hidden="1" x14ac:dyDescent="0.35">
      <c r="A263" s="112">
        <f t="shared" si="56"/>
        <v>0</v>
      </c>
      <c r="B263" s="112" t="s">
        <v>355</v>
      </c>
      <c r="C263" s="114"/>
      <c r="D263" s="115">
        <f t="shared" si="57"/>
        <v>0</v>
      </c>
      <c r="E263" s="115">
        <f t="shared" si="58"/>
        <v>0</v>
      </c>
      <c r="F263" s="115">
        <f t="shared" si="59"/>
        <v>0</v>
      </c>
      <c r="G263" s="115">
        <f t="shared" si="60"/>
        <v>0</v>
      </c>
      <c r="H263" s="115">
        <f t="shared" si="61"/>
        <v>0</v>
      </c>
      <c r="I263" s="115">
        <f t="shared" si="62"/>
        <v>0</v>
      </c>
      <c r="J263" s="115">
        <f t="shared" si="63"/>
        <v>0</v>
      </c>
    </row>
    <row r="264" spans="1:10" hidden="1" x14ac:dyDescent="0.35">
      <c r="A264" s="112">
        <f t="shared" si="56"/>
        <v>0</v>
      </c>
      <c r="B264" s="112" t="s">
        <v>355</v>
      </c>
      <c r="C264" s="114"/>
      <c r="D264" s="115">
        <f t="shared" si="57"/>
        <v>0</v>
      </c>
      <c r="E264" s="115">
        <f t="shared" si="58"/>
        <v>0</v>
      </c>
      <c r="F264" s="115">
        <f t="shared" si="59"/>
        <v>0</v>
      </c>
      <c r="G264" s="115">
        <f t="shared" si="60"/>
        <v>0</v>
      </c>
      <c r="H264" s="115">
        <f t="shared" si="61"/>
        <v>0</v>
      </c>
      <c r="I264" s="115">
        <f t="shared" si="62"/>
        <v>0</v>
      </c>
      <c r="J264" s="115">
        <f t="shared" si="63"/>
        <v>0</v>
      </c>
    </row>
    <row r="265" spans="1:10" hidden="1" x14ac:dyDescent="0.35">
      <c r="A265" s="112">
        <f t="shared" si="56"/>
        <v>0</v>
      </c>
      <c r="B265" s="112" t="s">
        <v>355</v>
      </c>
      <c r="C265" s="114"/>
      <c r="D265" s="115">
        <f t="shared" si="57"/>
        <v>0</v>
      </c>
      <c r="E265" s="115">
        <f t="shared" si="58"/>
        <v>0</v>
      </c>
      <c r="F265" s="115">
        <f t="shared" si="59"/>
        <v>0</v>
      </c>
      <c r="G265" s="115">
        <f t="shared" si="60"/>
        <v>0</v>
      </c>
      <c r="H265" s="115">
        <f t="shared" si="61"/>
        <v>0</v>
      </c>
      <c r="I265" s="115">
        <f t="shared" si="62"/>
        <v>0</v>
      </c>
      <c r="J265" s="115">
        <f t="shared" si="63"/>
        <v>0</v>
      </c>
    </row>
    <row r="266" spans="1:10" hidden="1" x14ac:dyDescent="0.35">
      <c r="A266" s="112" t="str">
        <f t="shared" si="56"/>
        <v>Onion</v>
      </c>
      <c r="B266" s="112" t="s">
        <v>355</v>
      </c>
      <c r="C266" s="114"/>
      <c r="D266" s="115">
        <f t="shared" si="57"/>
        <v>0</v>
      </c>
      <c r="E266" s="115">
        <f t="shared" si="58"/>
        <v>0</v>
      </c>
      <c r="F266" s="115">
        <f t="shared" si="59"/>
        <v>0</v>
      </c>
      <c r="G266" s="115">
        <f t="shared" si="60"/>
        <v>0</v>
      </c>
      <c r="H266" s="115">
        <f t="shared" si="61"/>
        <v>0</v>
      </c>
      <c r="I266" s="115">
        <f t="shared" si="62"/>
        <v>0</v>
      </c>
      <c r="J266" s="115">
        <f t="shared" si="63"/>
        <v>0</v>
      </c>
    </row>
    <row r="267" spans="1:10" hidden="1" x14ac:dyDescent="0.35">
      <c r="A267" s="112" t="str">
        <f t="shared" si="56"/>
        <v>Tomato</v>
      </c>
      <c r="B267" s="112" t="s">
        <v>355</v>
      </c>
      <c r="C267" s="114"/>
      <c r="D267" s="115">
        <f t="shared" si="57"/>
        <v>0</v>
      </c>
      <c r="E267" s="115">
        <f t="shared" si="58"/>
        <v>0</v>
      </c>
      <c r="F267" s="115">
        <f t="shared" si="59"/>
        <v>0</v>
      </c>
      <c r="G267" s="115">
        <f t="shared" si="60"/>
        <v>0</v>
      </c>
      <c r="H267" s="115">
        <f t="shared" si="61"/>
        <v>0</v>
      </c>
      <c r="I267" s="115">
        <f t="shared" si="62"/>
        <v>0</v>
      </c>
      <c r="J267" s="115">
        <f t="shared" si="63"/>
        <v>0</v>
      </c>
    </row>
    <row r="268" spans="1:10" hidden="1" x14ac:dyDescent="0.35">
      <c r="A268" s="112" t="str">
        <f t="shared" si="56"/>
        <v>Okra</v>
      </c>
      <c r="B268" s="112" t="s">
        <v>355</v>
      </c>
      <c r="C268" s="114"/>
      <c r="D268" s="115">
        <f t="shared" si="57"/>
        <v>0</v>
      </c>
      <c r="E268" s="115">
        <f t="shared" si="58"/>
        <v>0</v>
      </c>
      <c r="F268" s="115">
        <f t="shared" si="59"/>
        <v>0</v>
      </c>
      <c r="G268" s="115">
        <f t="shared" si="60"/>
        <v>0</v>
      </c>
      <c r="H268" s="115">
        <f t="shared" si="61"/>
        <v>0</v>
      </c>
      <c r="I268" s="115">
        <f t="shared" si="62"/>
        <v>0</v>
      </c>
      <c r="J268" s="115">
        <f t="shared" si="63"/>
        <v>0</v>
      </c>
    </row>
    <row r="269" spans="1:10" hidden="1" x14ac:dyDescent="0.35">
      <c r="A269" s="112" t="str">
        <f t="shared" si="56"/>
        <v>Chilli</v>
      </c>
      <c r="B269" s="112" t="s">
        <v>355</v>
      </c>
      <c r="C269" s="114"/>
      <c r="D269" s="115">
        <f t="shared" si="57"/>
        <v>0</v>
      </c>
      <c r="E269" s="115">
        <f t="shared" si="58"/>
        <v>0</v>
      </c>
      <c r="F269" s="115">
        <f t="shared" si="59"/>
        <v>0</v>
      </c>
      <c r="G269" s="115">
        <f t="shared" si="60"/>
        <v>0</v>
      </c>
      <c r="H269" s="115">
        <f t="shared" si="61"/>
        <v>0</v>
      </c>
      <c r="I269" s="115">
        <f t="shared" si="62"/>
        <v>0</v>
      </c>
      <c r="J269" s="115">
        <f t="shared" si="63"/>
        <v>0</v>
      </c>
    </row>
    <row r="270" spans="1:10" hidden="1" x14ac:dyDescent="0.35">
      <c r="A270" s="112" t="str">
        <f t="shared" si="56"/>
        <v>Brinjal</v>
      </c>
      <c r="B270" s="112" t="s">
        <v>355</v>
      </c>
      <c r="C270" s="114"/>
      <c r="D270" s="115">
        <f t="shared" si="57"/>
        <v>0</v>
      </c>
      <c r="E270" s="115">
        <f t="shared" si="58"/>
        <v>0</v>
      </c>
      <c r="F270" s="115">
        <f t="shared" si="59"/>
        <v>0</v>
      </c>
      <c r="G270" s="115">
        <f t="shared" si="60"/>
        <v>0</v>
      </c>
      <c r="H270" s="115">
        <f t="shared" si="61"/>
        <v>0</v>
      </c>
      <c r="I270" s="115">
        <f t="shared" si="62"/>
        <v>0</v>
      </c>
      <c r="J270" s="115">
        <f t="shared" si="63"/>
        <v>0</v>
      </c>
    </row>
    <row r="271" spans="1:10" hidden="1" x14ac:dyDescent="0.35">
      <c r="A271" s="112">
        <f t="shared" si="56"/>
        <v>0</v>
      </c>
      <c r="B271" s="112" t="s">
        <v>355</v>
      </c>
      <c r="C271" s="114"/>
      <c r="D271" s="115">
        <f t="shared" si="57"/>
        <v>0</v>
      </c>
      <c r="E271" s="115">
        <f t="shared" si="58"/>
        <v>0</v>
      </c>
      <c r="F271" s="115">
        <f t="shared" si="59"/>
        <v>0</v>
      </c>
      <c r="G271" s="115">
        <f t="shared" si="60"/>
        <v>0</v>
      </c>
      <c r="H271" s="115">
        <f t="shared" si="61"/>
        <v>0</v>
      </c>
      <c r="I271" s="115">
        <f t="shared" si="62"/>
        <v>0</v>
      </c>
      <c r="J271" s="115">
        <f t="shared" si="63"/>
        <v>0</v>
      </c>
    </row>
    <row r="272" spans="1:10" hidden="1" x14ac:dyDescent="0.35">
      <c r="A272" s="112">
        <f t="shared" si="56"/>
        <v>0</v>
      </c>
      <c r="B272" s="112" t="s">
        <v>355</v>
      </c>
      <c r="C272" s="114"/>
      <c r="D272" s="115">
        <f t="shared" si="57"/>
        <v>0</v>
      </c>
      <c r="E272" s="115">
        <f t="shared" si="58"/>
        <v>0</v>
      </c>
      <c r="F272" s="115">
        <f t="shared" si="59"/>
        <v>0</v>
      </c>
      <c r="G272" s="115">
        <f t="shared" si="60"/>
        <v>0</v>
      </c>
      <c r="H272" s="115">
        <f t="shared" si="61"/>
        <v>0</v>
      </c>
      <c r="I272" s="115">
        <f t="shared" si="62"/>
        <v>0</v>
      </c>
      <c r="J272" s="115">
        <f t="shared" si="63"/>
        <v>0</v>
      </c>
    </row>
    <row r="273" spans="1:10" hidden="1" x14ac:dyDescent="0.35">
      <c r="A273" s="112">
        <f t="shared" si="56"/>
        <v>0</v>
      </c>
      <c r="B273" s="112" t="s">
        <v>355</v>
      </c>
      <c r="C273" s="114"/>
      <c r="D273" s="115">
        <f t="shared" si="57"/>
        <v>0</v>
      </c>
      <c r="E273" s="115">
        <f t="shared" si="58"/>
        <v>0</v>
      </c>
      <c r="F273" s="115">
        <f t="shared" si="59"/>
        <v>0</v>
      </c>
      <c r="G273" s="115">
        <f t="shared" si="60"/>
        <v>0</v>
      </c>
      <c r="H273" s="115">
        <f t="shared" si="61"/>
        <v>0</v>
      </c>
      <c r="I273" s="115">
        <f t="shared" si="62"/>
        <v>0</v>
      </c>
      <c r="J273" s="115">
        <f t="shared" si="63"/>
        <v>0</v>
      </c>
    </row>
    <row r="274" spans="1:10" hidden="1" x14ac:dyDescent="0.35">
      <c r="A274" s="112">
        <f t="shared" si="56"/>
        <v>0</v>
      </c>
      <c r="B274" s="112" t="s">
        <v>355</v>
      </c>
      <c r="C274" s="114"/>
      <c r="D274" s="115">
        <f t="shared" si="57"/>
        <v>0</v>
      </c>
      <c r="E274" s="115">
        <f t="shared" si="58"/>
        <v>0</v>
      </c>
      <c r="F274" s="115">
        <f t="shared" si="59"/>
        <v>0</v>
      </c>
      <c r="G274" s="115">
        <f t="shared" si="60"/>
        <v>0</v>
      </c>
      <c r="H274" s="115">
        <f t="shared" si="61"/>
        <v>0</v>
      </c>
      <c r="I274" s="115">
        <f t="shared" si="62"/>
        <v>0</v>
      </c>
      <c r="J274" s="115">
        <f t="shared" si="63"/>
        <v>0</v>
      </c>
    </row>
    <row r="275" spans="1:10" hidden="1" x14ac:dyDescent="0.35">
      <c r="A275" s="112" t="str">
        <f>A224</f>
        <v>Pomegranate</v>
      </c>
      <c r="B275" s="112" t="s">
        <v>355</v>
      </c>
      <c r="C275" s="114"/>
      <c r="D275" s="115">
        <f t="shared" ref="D275:J280" si="64">B113*$C275*D$172</f>
        <v>0</v>
      </c>
      <c r="E275" s="115">
        <f t="shared" si="64"/>
        <v>0</v>
      </c>
      <c r="F275" s="115">
        <f t="shared" si="64"/>
        <v>0</v>
      </c>
      <c r="G275" s="115">
        <f t="shared" si="64"/>
        <v>0</v>
      </c>
      <c r="H275" s="115">
        <f t="shared" si="64"/>
        <v>0</v>
      </c>
      <c r="I275" s="115">
        <f t="shared" si="64"/>
        <v>0</v>
      </c>
      <c r="J275" s="115">
        <f t="shared" si="64"/>
        <v>0</v>
      </c>
    </row>
    <row r="276" spans="1:10" hidden="1" x14ac:dyDescent="0.35">
      <c r="A276" s="112" t="str">
        <f>A225</f>
        <v>Custard Apple</v>
      </c>
      <c r="B276" s="112" t="s">
        <v>355</v>
      </c>
      <c r="C276" s="114"/>
      <c r="D276" s="115">
        <f t="shared" si="64"/>
        <v>0</v>
      </c>
      <c r="E276" s="115">
        <f t="shared" si="64"/>
        <v>0</v>
      </c>
      <c r="F276" s="115">
        <f t="shared" si="64"/>
        <v>0</v>
      </c>
      <c r="G276" s="115">
        <f t="shared" si="64"/>
        <v>0</v>
      </c>
      <c r="H276" s="115">
        <f t="shared" si="64"/>
        <v>0</v>
      </c>
      <c r="I276" s="115">
        <f t="shared" si="64"/>
        <v>0</v>
      </c>
      <c r="J276" s="115">
        <f t="shared" si="64"/>
        <v>0</v>
      </c>
    </row>
    <row r="277" spans="1:10" hidden="1" x14ac:dyDescent="0.35">
      <c r="A277" s="112" t="str">
        <f>A226</f>
        <v>Guava</v>
      </c>
      <c r="B277" s="112" t="s">
        <v>355</v>
      </c>
      <c r="C277" s="114"/>
      <c r="D277" s="115">
        <f t="shared" si="64"/>
        <v>0</v>
      </c>
      <c r="E277" s="115">
        <f t="shared" si="64"/>
        <v>0</v>
      </c>
      <c r="F277" s="115">
        <f t="shared" si="64"/>
        <v>0</v>
      </c>
      <c r="G277" s="115">
        <f t="shared" si="64"/>
        <v>0</v>
      </c>
      <c r="H277" s="115">
        <f t="shared" si="64"/>
        <v>0</v>
      </c>
      <c r="I277" s="115">
        <f t="shared" si="64"/>
        <v>0</v>
      </c>
      <c r="J277" s="115">
        <f t="shared" si="64"/>
        <v>0</v>
      </c>
    </row>
    <row r="278" spans="1:10" hidden="1" x14ac:dyDescent="0.35">
      <c r="A278" s="112" t="str">
        <f>A227</f>
        <v>Citrus</v>
      </c>
      <c r="B278" s="112" t="s">
        <v>355</v>
      </c>
      <c r="C278" s="114"/>
      <c r="D278" s="115">
        <f t="shared" si="64"/>
        <v>0</v>
      </c>
      <c r="E278" s="115">
        <f t="shared" si="64"/>
        <v>0</v>
      </c>
      <c r="F278" s="115">
        <f t="shared" si="64"/>
        <v>0</v>
      </c>
      <c r="G278" s="115">
        <f t="shared" si="64"/>
        <v>0</v>
      </c>
      <c r="H278" s="115">
        <f t="shared" si="64"/>
        <v>0</v>
      </c>
      <c r="I278" s="115">
        <f t="shared" si="64"/>
        <v>0</v>
      </c>
      <c r="J278" s="115">
        <f t="shared" si="64"/>
        <v>0</v>
      </c>
    </row>
    <row r="279" spans="1:10" hidden="1" x14ac:dyDescent="0.35">
      <c r="A279" s="112">
        <f>A228</f>
        <v>0</v>
      </c>
      <c r="B279" s="112" t="s">
        <v>355</v>
      </c>
      <c r="C279" s="114"/>
      <c r="D279" s="115">
        <f t="shared" si="64"/>
        <v>0</v>
      </c>
      <c r="E279" s="115">
        <f t="shared" si="64"/>
        <v>0</v>
      </c>
      <c r="F279" s="115">
        <f t="shared" si="64"/>
        <v>0</v>
      </c>
      <c r="G279" s="115">
        <f t="shared" si="64"/>
        <v>0</v>
      </c>
      <c r="H279" s="115">
        <f t="shared" si="64"/>
        <v>0</v>
      </c>
      <c r="I279" s="115">
        <f t="shared" si="64"/>
        <v>0</v>
      </c>
      <c r="J279" s="115">
        <f t="shared" si="64"/>
        <v>0</v>
      </c>
    </row>
    <row r="280" spans="1:10" hidden="1" x14ac:dyDescent="0.35">
      <c r="A280" s="112">
        <f>A230</f>
        <v>0</v>
      </c>
      <c r="B280" s="112"/>
      <c r="C280" s="114"/>
      <c r="D280" s="115">
        <f t="shared" si="64"/>
        <v>0</v>
      </c>
      <c r="E280" s="115">
        <f t="shared" si="64"/>
        <v>0</v>
      </c>
      <c r="F280" s="115">
        <f t="shared" si="64"/>
        <v>0</v>
      </c>
      <c r="G280" s="115">
        <f t="shared" si="64"/>
        <v>0</v>
      </c>
      <c r="H280" s="115">
        <f t="shared" si="64"/>
        <v>0</v>
      </c>
      <c r="I280" s="115">
        <f t="shared" si="64"/>
        <v>0</v>
      </c>
      <c r="J280" s="115">
        <f t="shared" si="64"/>
        <v>0</v>
      </c>
    </row>
    <row r="281" spans="1:10" x14ac:dyDescent="0.35">
      <c r="A281" s="112"/>
      <c r="B281" s="112"/>
      <c r="C281" s="114"/>
      <c r="D281" s="115"/>
      <c r="E281" s="115"/>
      <c r="F281" s="115"/>
      <c r="G281" s="115"/>
      <c r="H281" s="115"/>
      <c r="I281" s="115"/>
      <c r="J281" s="115"/>
    </row>
    <row r="282" spans="1:10" x14ac:dyDescent="0.35">
      <c r="A282" s="112" t="s">
        <v>307</v>
      </c>
      <c r="B282" s="113">
        <v>5</v>
      </c>
      <c r="C282" s="113">
        <v>300</v>
      </c>
      <c r="D282" s="115">
        <f t="shared" ref="D282:J282" si="65">B10*$B$282*$C$282*D172</f>
        <v>243047.33437500003</v>
      </c>
      <c r="E282" s="115">
        <f t="shared" si="65"/>
        <v>280719.67120312509</v>
      </c>
      <c r="F282" s="115">
        <f t="shared" si="65"/>
        <v>321551.62337812508</v>
      </c>
      <c r="G282" s="115">
        <f t="shared" si="65"/>
        <v>365764.97159261734</v>
      </c>
      <c r="H282" s="115">
        <f t="shared" si="65"/>
        <v>413595.77557011344</v>
      </c>
      <c r="I282" s="115">
        <f t="shared" si="65"/>
        <v>465295.24751637777</v>
      </c>
      <c r="J282" s="115">
        <f t="shared" si="65"/>
        <v>521130.67721834301</v>
      </c>
    </row>
    <row r="283" spans="1:10" x14ac:dyDescent="0.35">
      <c r="A283" s="112" t="s">
        <v>142</v>
      </c>
      <c r="B283" s="112">
        <f>'2.Capex Details'!H67*0.746*8</f>
        <v>193.96</v>
      </c>
      <c r="C283" s="113">
        <v>10</v>
      </c>
      <c r="D283" s="115">
        <f t="shared" ref="D283:J283" si="66">$B$283*$C$283*D172*B10</f>
        <v>314276.40650250006</v>
      </c>
      <c r="E283" s="115">
        <f t="shared" si="66"/>
        <v>362989.2495103876</v>
      </c>
      <c r="F283" s="115">
        <f t="shared" si="66"/>
        <v>415787.68580280762</v>
      </c>
      <c r="G283" s="115">
        <f t="shared" si="66"/>
        <v>472958.49260069377</v>
      </c>
      <c r="H283" s="115">
        <f t="shared" si="66"/>
        <v>534806.91086386133</v>
      </c>
      <c r="I283" s="115">
        <f t="shared" si="66"/>
        <v>601657.77472184412</v>
      </c>
      <c r="J283" s="115">
        <f t="shared" si="66"/>
        <v>673856.70768846548</v>
      </c>
    </row>
    <row r="284" spans="1:10" x14ac:dyDescent="0.35">
      <c r="A284" s="112" t="s">
        <v>459</v>
      </c>
      <c r="B284" s="112"/>
      <c r="C284" s="113">
        <v>30</v>
      </c>
      <c r="D284" s="115">
        <f t="shared" ref="D284:J284" si="67">SUM(B120:B141)*$C$284*D172</f>
        <v>377209.46295000002</v>
      </c>
      <c r="E284" s="115">
        <f t="shared" si="67"/>
        <v>435676.92970725009</v>
      </c>
      <c r="F284" s="115">
        <f t="shared" si="67"/>
        <v>499048.11948284996</v>
      </c>
      <c r="G284" s="115">
        <f t="shared" si="67"/>
        <v>567667.23591174209</v>
      </c>
      <c r="H284" s="115">
        <f t="shared" si="67"/>
        <v>641900.6436848162</v>
      </c>
      <c r="I284" s="115">
        <f t="shared" si="67"/>
        <v>722138.22414541815</v>
      </c>
      <c r="J284" s="115">
        <f t="shared" si="67"/>
        <v>808794.81104286865</v>
      </c>
    </row>
    <row r="285" spans="1:10" x14ac:dyDescent="0.35">
      <c r="A285" s="112" t="s">
        <v>458</v>
      </c>
      <c r="B285" s="112"/>
      <c r="C285" s="113">
        <v>30</v>
      </c>
      <c r="D285" s="115">
        <f t="shared" ref="D285:J285" si="68">SUM(B120:B141)*$C$285*D172</f>
        <v>377209.46295000002</v>
      </c>
      <c r="E285" s="115">
        <f t="shared" si="68"/>
        <v>435676.92970725009</v>
      </c>
      <c r="F285" s="115">
        <f t="shared" si="68"/>
        <v>499048.11948284996</v>
      </c>
      <c r="G285" s="115">
        <f t="shared" si="68"/>
        <v>567667.23591174209</v>
      </c>
      <c r="H285" s="115">
        <f t="shared" si="68"/>
        <v>641900.6436848162</v>
      </c>
      <c r="I285" s="115">
        <f t="shared" si="68"/>
        <v>722138.22414541815</v>
      </c>
      <c r="J285" s="115">
        <f t="shared" si="68"/>
        <v>808794.81104286865</v>
      </c>
    </row>
    <row r="286" spans="1:10" x14ac:dyDescent="0.35">
      <c r="A286" s="112"/>
      <c r="B286" s="112"/>
      <c r="C286" s="112"/>
      <c r="D286" s="112"/>
      <c r="E286" s="112"/>
      <c r="F286" s="112"/>
      <c r="G286" s="112"/>
      <c r="H286" s="112"/>
      <c r="I286" s="112"/>
      <c r="J286" s="112"/>
    </row>
    <row r="287" spans="1:10" hidden="1" x14ac:dyDescent="0.35">
      <c r="A287" s="112"/>
      <c r="B287" s="112"/>
      <c r="C287" s="112"/>
      <c r="D287" s="112"/>
      <c r="E287" s="112"/>
      <c r="F287" s="112"/>
      <c r="G287" s="112"/>
      <c r="H287" s="112"/>
      <c r="I287" s="112"/>
      <c r="J287" s="112"/>
    </row>
    <row r="288" spans="1:10" hidden="1" x14ac:dyDescent="0.35">
      <c r="A288" s="112"/>
      <c r="B288" s="112"/>
      <c r="C288" s="112"/>
      <c r="D288" s="112"/>
      <c r="E288" s="112"/>
      <c r="F288" s="112"/>
      <c r="G288" s="112"/>
      <c r="H288" s="112"/>
      <c r="I288" s="112"/>
      <c r="J288" s="112"/>
    </row>
    <row r="289" spans="1:14" x14ac:dyDescent="0.35">
      <c r="A289" s="125" t="s">
        <v>338</v>
      </c>
      <c r="B289" s="112"/>
      <c r="C289" s="112"/>
      <c r="D289" s="196"/>
      <c r="E289" s="196">
        <f>'5.Closing Stock &amp; W Capital'!F6</f>
        <v>1375765.4808265502</v>
      </c>
      <c r="F289" s="196">
        <f>'5.Closing Stock &amp; W Capital'!G6</f>
        <v>1589009.1303546652</v>
      </c>
      <c r="G289" s="196">
        <f>'5.Closing Stock &amp; W Capital'!H6</f>
        <v>1820137.731133526</v>
      </c>
      <c r="H289" s="196">
        <f>'5.Closing Stock &amp; W Capital'!I6</f>
        <v>2070406.6691643861</v>
      </c>
      <c r="I289" s="196">
        <f>'5.Closing Stock &amp; W Capital'!J6</f>
        <v>2341152.1566704982</v>
      </c>
      <c r="J289" s="196">
        <f>'5.Closing Stock &amp; W Capital'!K6</f>
        <v>2633796.1762543106</v>
      </c>
    </row>
    <row r="290" spans="1:14" x14ac:dyDescent="0.35">
      <c r="A290" s="125" t="s">
        <v>339</v>
      </c>
      <c r="B290" s="112"/>
      <c r="C290" s="196"/>
      <c r="D290" s="196">
        <f>'5.Closing Stock &amp; W Capital'!E15</f>
        <v>1375765.4808265502</v>
      </c>
      <c r="E290" s="196">
        <f>'5.Closing Stock &amp; W Capital'!F15</f>
        <v>1589009.1303546652</v>
      </c>
      <c r="F290" s="196">
        <f>'5.Closing Stock &amp; W Capital'!G15</f>
        <v>1820137.731133526</v>
      </c>
      <c r="G290" s="196">
        <f>'5.Closing Stock &amp; W Capital'!H15</f>
        <v>2070406.6691643861</v>
      </c>
      <c r="H290" s="196">
        <f>'5.Closing Stock &amp; W Capital'!I15</f>
        <v>2341152.1566704982</v>
      </c>
      <c r="I290" s="196">
        <f>'5.Closing Stock &amp; W Capital'!J15</f>
        <v>2633796.1762543106</v>
      </c>
      <c r="J290" s="196">
        <f>'5.Closing Stock &amp; W Capital'!K15</f>
        <v>2949851.7174048289</v>
      </c>
    </row>
    <row r="291" spans="1:14" x14ac:dyDescent="0.35">
      <c r="A291" s="125"/>
      <c r="B291" s="112"/>
      <c r="C291" s="199"/>
      <c r="D291" s="196"/>
      <c r="E291" s="196"/>
      <c r="F291" s="196"/>
      <c r="G291" s="196"/>
      <c r="H291" s="196"/>
      <c r="I291" s="196"/>
      <c r="J291" s="196"/>
    </row>
    <row r="292" spans="1:14" x14ac:dyDescent="0.35">
      <c r="A292" s="116" t="s">
        <v>317</v>
      </c>
      <c r="B292" s="116"/>
      <c r="C292" s="116"/>
      <c r="D292" s="117">
        <f t="shared" ref="D292:J292" si="69">SUM(D233:D289)-D290</f>
        <v>67789718.023450956</v>
      </c>
      <c r="E292" s="117">
        <f t="shared" si="69"/>
        <v>79672889.797912389</v>
      </c>
      <c r="F292" s="117">
        <f t="shared" si="69"/>
        <v>91274806.075380296</v>
      </c>
      <c r="G292" s="117">
        <f t="shared" si="69"/>
        <v>103837731.75610018</v>
      </c>
      <c r="H292" s="117">
        <f t="shared" si="69"/>
        <v>117428762.98970363</v>
      </c>
      <c r="I292" s="117">
        <f t="shared" si="69"/>
        <v>132119303.01727714</v>
      </c>
      <c r="J292" s="117">
        <f t="shared" si="69"/>
        <v>147985325.14013377</v>
      </c>
    </row>
    <row r="293" spans="1:14" x14ac:dyDescent="0.35">
      <c r="A293" s="116" t="s">
        <v>308</v>
      </c>
      <c r="B293" s="112"/>
      <c r="C293" s="112"/>
      <c r="D293" s="200"/>
      <c r="E293" s="200"/>
      <c r="F293" s="200"/>
      <c r="G293" s="200"/>
      <c r="H293" s="200"/>
      <c r="I293" s="112"/>
      <c r="J293" s="112"/>
    </row>
    <row r="294" spans="1:14" x14ac:dyDescent="0.35">
      <c r="A294" s="112" t="s">
        <v>184</v>
      </c>
      <c r="B294" s="113">
        <v>1</v>
      </c>
      <c r="C294" s="114">
        <v>15000</v>
      </c>
      <c r="D294" s="115">
        <f t="shared" ref="D294:J294" si="70">$B$294*$C$294*12*D172</f>
        <v>180000</v>
      </c>
      <c r="E294" s="115">
        <f t="shared" si="70"/>
        <v>189000</v>
      </c>
      <c r="F294" s="115">
        <f t="shared" si="70"/>
        <v>198450</v>
      </c>
      <c r="G294" s="115">
        <f t="shared" si="70"/>
        <v>208372.50000000003</v>
      </c>
      <c r="H294" s="115">
        <f t="shared" si="70"/>
        <v>218791.12500000003</v>
      </c>
      <c r="I294" s="115">
        <f t="shared" si="70"/>
        <v>229730.68125000005</v>
      </c>
      <c r="J294" s="115">
        <f t="shared" si="70"/>
        <v>241217.21531250008</v>
      </c>
    </row>
    <row r="295" spans="1:14" x14ac:dyDescent="0.35">
      <c r="A295" s="112" t="s">
        <v>742</v>
      </c>
      <c r="B295" s="113">
        <v>6</v>
      </c>
      <c r="C295" s="114">
        <v>10000</v>
      </c>
      <c r="D295" s="115">
        <f>$B$295*$C$295*12*D172</f>
        <v>720000</v>
      </c>
      <c r="E295" s="115">
        <f t="shared" ref="E295:J295" si="71">$B$295*$C$295*12*E172</f>
        <v>756000</v>
      </c>
      <c r="F295" s="115">
        <f t="shared" si="71"/>
        <v>793800</v>
      </c>
      <c r="G295" s="115">
        <f t="shared" si="71"/>
        <v>833490.00000000012</v>
      </c>
      <c r="H295" s="115">
        <f t="shared" si="71"/>
        <v>875164.50000000012</v>
      </c>
      <c r="I295" s="115">
        <f t="shared" si="71"/>
        <v>918922.72500000021</v>
      </c>
      <c r="J295" s="115">
        <f t="shared" si="71"/>
        <v>964868.86125000031</v>
      </c>
      <c r="N295" s="201"/>
    </row>
    <row r="296" spans="1:14" x14ac:dyDescent="0.35">
      <c r="A296" s="112"/>
      <c r="B296" s="113"/>
      <c r="C296" s="114"/>
      <c r="D296" s="115"/>
      <c r="E296" s="115"/>
      <c r="F296" s="115"/>
      <c r="G296" s="115"/>
      <c r="H296" s="115"/>
      <c r="I296" s="115"/>
      <c r="J296" s="115"/>
    </row>
    <row r="297" spans="1:14" hidden="1" x14ac:dyDescent="0.35">
      <c r="A297" s="112"/>
      <c r="B297" s="113"/>
      <c r="C297" s="114"/>
      <c r="D297" s="115"/>
      <c r="E297" s="115"/>
      <c r="F297" s="115"/>
      <c r="G297" s="115"/>
      <c r="H297" s="115"/>
      <c r="I297" s="115"/>
      <c r="J297" s="115"/>
    </row>
    <row r="298" spans="1:14" hidden="1" x14ac:dyDescent="0.35">
      <c r="A298" s="112"/>
      <c r="B298" s="113"/>
      <c r="C298" s="114"/>
      <c r="D298" s="115"/>
      <c r="E298" s="115"/>
      <c r="F298" s="115"/>
      <c r="G298" s="115"/>
      <c r="H298" s="115"/>
      <c r="I298" s="115"/>
      <c r="J298" s="115"/>
    </row>
    <row r="299" spans="1:14" hidden="1" x14ac:dyDescent="0.35">
      <c r="A299" s="112"/>
      <c r="B299" s="113"/>
      <c r="C299" s="114"/>
      <c r="D299" s="115"/>
      <c r="E299" s="115"/>
      <c r="F299" s="115"/>
      <c r="G299" s="115"/>
      <c r="H299" s="115"/>
      <c r="I299" s="115"/>
      <c r="J299" s="115"/>
    </row>
    <row r="300" spans="1:14" hidden="1" x14ac:dyDescent="0.35">
      <c r="A300" s="112"/>
      <c r="B300" s="113"/>
      <c r="C300" s="114"/>
      <c r="D300" s="115"/>
      <c r="E300" s="115"/>
      <c r="F300" s="115"/>
      <c r="G300" s="115"/>
      <c r="H300" s="115"/>
      <c r="I300" s="115"/>
      <c r="J300" s="115"/>
    </row>
    <row r="301" spans="1:14" x14ac:dyDescent="0.35">
      <c r="A301" s="116" t="s">
        <v>320</v>
      </c>
      <c r="B301" s="178"/>
      <c r="C301" s="178"/>
      <c r="D301" s="117">
        <f t="shared" ref="D301:J301" si="72">SUM(D294:D300)</f>
        <v>900000</v>
      </c>
      <c r="E301" s="117">
        <f t="shared" si="72"/>
        <v>945000</v>
      </c>
      <c r="F301" s="117">
        <f t="shared" si="72"/>
        <v>992250</v>
      </c>
      <c r="G301" s="117">
        <f t="shared" si="72"/>
        <v>1041862.5000000001</v>
      </c>
      <c r="H301" s="117">
        <f t="shared" si="72"/>
        <v>1093955.6250000002</v>
      </c>
      <c r="I301" s="117">
        <f t="shared" si="72"/>
        <v>1148653.4062500002</v>
      </c>
      <c r="J301" s="117">
        <f t="shared" si="72"/>
        <v>1206086.0765625003</v>
      </c>
      <c r="N301" s="201"/>
    </row>
    <row r="302" spans="1:14" x14ac:dyDescent="0.35">
      <c r="A302" s="116" t="s">
        <v>128</v>
      </c>
      <c r="B302" s="116"/>
      <c r="C302" s="116"/>
      <c r="D302" s="117">
        <f t="shared" ref="D302:J302" si="73">D292+D301</f>
        <v>68689718.023450956</v>
      </c>
      <c r="E302" s="117">
        <f t="shared" si="73"/>
        <v>80617889.797912389</v>
      </c>
      <c r="F302" s="117">
        <f t="shared" si="73"/>
        <v>92267056.075380296</v>
      </c>
      <c r="G302" s="117">
        <f t="shared" si="73"/>
        <v>104879594.25610018</v>
      </c>
      <c r="H302" s="117">
        <f t="shared" si="73"/>
        <v>118522718.61470363</v>
      </c>
      <c r="I302" s="117">
        <f t="shared" si="73"/>
        <v>133267956.42352714</v>
      </c>
      <c r="J302" s="117">
        <f t="shared" si="73"/>
        <v>149191411.21669626</v>
      </c>
    </row>
    <row r="303" spans="1:14" x14ac:dyDescent="0.35">
      <c r="A303" s="112"/>
      <c r="B303" s="112"/>
      <c r="C303" s="112"/>
      <c r="D303" s="200"/>
      <c r="E303" s="200"/>
      <c r="F303" s="200"/>
      <c r="G303" s="200"/>
      <c r="H303" s="200"/>
      <c r="I303" s="112"/>
      <c r="J303" s="112"/>
    </row>
    <row r="304" spans="1:14" x14ac:dyDescent="0.35">
      <c r="A304" s="116"/>
      <c r="B304" s="116"/>
      <c r="C304" s="116"/>
      <c r="D304" s="200"/>
      <c r="E304" s="200"/>
      <c r="F304" s="200"/>
      <c r="G304" s="200"/>
      <c r="H304" s="200"/>
      <c r="I304" s="112"/>
      <c r="J304" s="112"/>
    </row>
    <row r="305" spans="1:10" x14ac:dyDescent="0.35">
      <c r="A305" s="116" t="s">
        <v>312</v>
      </c>
      <c r="B305" s="116"/>
      <c r="C305" s="116"/>
      <c r="D305" s="117">
        <f t="shared" ref="D305:J305" si="74">D229-D302</f>
        <v>4010500.4475865364</v>
      </c>
      <c r="E305" s="117">
        <f t="shared" si="74"/>
        <v>4889280.5737653226</v>
      </c>
      <c r="F305" s="117">
        <f t="shared" si="74"/>
        <v>5692205.795264259</v>
      </c>
      <c r="G305" s="117">
        <f t="shared" si="74"/>
        <v>6563200.3374787718</v>
      </c>
      <c r="H305" s="117">
        <f t="shared" si="74"/>
        <v>7507063.8194264621</v>
      </c>
      <c r="I305" s="117">
        <f t="shared" si="74"/>
        <v>8528905.6487253457</v>
      </c>
      <c r="J305" s="117">
        <f t="shared" si="74"/>
        <v>9634164.0014054775</v>
      </c>
    </row>
    <row r="307" spans="1:10" x14ac:dyDescent="0.35">
      <c r="A307" s="107" t="s">
        <v>50</v>
      </c>
    </row>
    <row r="308" spans="1:10" x14ac:dyDescent="0.35">
      <c r="A308" s="423" t="s">
        <v>417</v>
      </c>
      <c r="B308" s="423"/>
      <c r="C308" s="423"/>
      <c r="D308" s="423"/>
      <c r="E308" s="423"/>
      <c r="F308" s="423"/>
      <c r="G308" s="423"/>
      <c r="H308" s="423"/>
      <c r="I308" s="423"/>
      <c r="J308" s="423"/>
    </row>
    <row r="310" spans="1:10" x14ac:dyDescent="0.35">
      <c r="A310" s="107" t="s">
        <v>531</v>
      </c>
    </row>
    <row r="311" spans="1:10" x14ac:dyDescent="0.35">
      <c r="A311" s="107">
        <v>1</v>
      </c>
      <c r="B311" s="107" t="s">
        <v>542</v>
      </c>
    </row>
    <row r="312" spans="1:10" x14ac:dyDescent="0.35">
      <c r="A312" s="107">
        <v>2</v>
      </c>
      <c r="B312" s="107" t="s">
        <v>543</v>
      </c>
    </row>
    <row r="313" spans="1:10" x14ac:dyDescent="0.35">
      <c r="A313" s="107">
        <v>3</v>
      </c>
      <c r="B313" s="107" t="s">
        <v>582</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90"/>
  <sheetViews>
    <sheetView view="pageBreakPreview" topLeftCell="A165" zoomScale="80" zoomScaleSheetLayoutView="80" workbookViewId="0">
      <selection activeCell="B177" sqref="B177"/>
    </sheetView>
  </sheetViews>
  <sheetFormatPr defaultRowHeight="14.5" x14ac:dyDescent="0.35"/>
  <cols>
    <col min="1" max="1" width="41.7265625" bestFit="1" customWidth="1"/>
    <col min="2" max="2" width="12.453125" customWidth="1"/>
    <col min="3" max="3" width="12" customWidth="1"/>
    <col min="4" max="4" width="15.1796875" customWidth="1"/>
    <col min="5" max="8" width="17.26953125" customWidth="1"/>
    <col min="9" max="10" width="16.81640625" bestFit="1" customWidth="1"/>
  </cols>
  <sheetData>
    <row r="3" spans="1:8" ht="17.5" x14ac:dyDescent="0.35">
      <c r="A3" s="477" t="s">
        <v>679</v>
      </c>
      <c r="B3" s="477"/>
      <c r="C3" s="477"/>
      <c r="D3" s="477"/>
      <c r="E3" s="477"/>
      <c r="F3" s="477"/>
      <c r="G3" s="477"/>
      <c r="H3" s="477"/>
    </row>
    <row r="4" spans="1:8" ht="17.5" x14ac:dyDescent="0.35">
      <c r="A4" s="477" t="s">
        <v>568</v>
      </c>
      <c r="B4" s="477"/>
      <c r="C4" s="477"/>
      <c r="D4" s="477"/>
      <c r="E4" s="477"/>
      <c r="F4" s="477"/>
      <c r="G4" s="477"/>
      <c r="H4" s="477"/>
    </row>
    <row r="5" spans="1:8" x14ac:dyDescent="0.35">
      <c r="A5" s="19" t="s">
        <v>157</v>
      </c>
      <c r="B5" s="48">
        <v>20</v>
      </c>
      <c r="C5" s="19" t="s">
        <v>469</v>
      </c>
      <c r="D5" s="19" t="s">
        <v>689</v>
      </c>
      <c r="E5" s="19"/>
      <c r="F5" s="19"/>
      <c r="G5" s="19"/>
      <c r="H5" s="19"/>
    </row>
    <row r="6" spans="1:8" x14ac:dyDescent="0.35">
      <c r="A6" s="19" t="s">
        <v>158</v>
      </c>
      <c r="B6" s="56">
        <v>8</v>
      </c>
      <c r="C6" s="19"/>
      <c r="D6" s="19"/>
      <c r="E6" s="19"/>
      <c r="F6" s="19"/>
      <c r="G6" s="19"/>
      <c r="H6" s="19"/>
    </row>
    <row r="7" spans="1:8" x14ac:dyDescent="0.35">
      <c r="A7" s="19"/>
      <c r="B7" s="56"/>
      <c r="C7" s="19"/>
      <c r="D7" s="19"/>
      <c r="E7" s="19"/>
      <c r="F7" s="19"/>
      <c r="G7" s="19"/>
      <c r="H7" s="19"/>
    </row>
    <row r="8" spans="1:8" x14ac:dyDescent="0.35">
      <c r="A8" s="19"/>
      <c r="B8" s="56"/>
      <c r="C8" s="19"/>
      <c r="D8" s="19"/>
      <c r="E8" s="19"/>
      <c r="F8" s="19"/>
      <c r="G8" s="19"/>
      <c r="H8" s="19"/>
    </row>
    <row r="9" spans="1:8" x14ac:dyDescent="0.35">
      <c r="A9" s="19"/>
      <c r="B9" s="19"/>
      <c r="C9" s="19"/>
      <c r="D9" s="19"/>
      <c r="E9" s="19"/>
      <c r="F9" s="19"/>
      <c r="G9" s="19"/>
      <c r="H9" s="19"/>
    </row>
    <row r="10" spans="1:8" x14ac:dyDescent="0.35">
      <c r="A10" s="19"/>
      <c r="B10" s="19"/>
      <c r="C10" s="19"/>
      <c r="D10" s="19"/>
      <c r="E10" s="19"/>
      <c r="F10" s="19"/>
      <c r="G10" s="19"/>
      <c r="H10" s="19"/>
    </row>
    <row r="11" spans="1:8" x14ac:dyDescent="0.35">
      <c r="A11" s="17" t="s">
        <v>0</v>
      </c>
      <c r="B11" s="18" t="s">
        <v>2</v>
      </c>
      <c r="C11" s="18" t="s">
        <v>3</v>
      </c>
      <c r="D11" s="18" t="s">
        <v>4</v>
      </c>
      <c r="E11" s="18" t="s">
        <v>5</v>
      </c>
      <c r="F11" s="18" t="s">
        <v>6</v>
      </c>
      <c r="G11" s="18" t="s">
        <v>165</v>
      </c>
      <c r="H11" s="18" t="s">
        <v>164</v>
      </c>
    </row>
    <row r="12" spans="1:8" x14ac:dyDescent="0.35">
      <c r="A12" s="20" t="s">
        <v>166</v>
      </c>
      <c r="B12" s="80">
        <f>B32/($B$5*$B$6)</f>
        <v>0</v>
      </c>
      <c r="C12" s="80">
        <f t="shared" ref="C12:H12" si="0">C32/($B$5*$B$6)</f>
        <v>0</v>
      </c>
      <c r="D12" s="80">
        <f t="shared" si="0"/>
        <v>0</v>
      </c>
      <c r="E12" s="80">
        <f t="shared" si="0"/>
        <v>0</v>
      </c>
      <c r="F12" s="80">
        <f t="shared" si="0"/>
        <v>0</v>
      </c>
      <c r="G12" s="80">
        <f t="shared" si="0"/>
        <v>0</v>
      </c>
      <c r="H12" s="80">
        <f t="shared" si="0"/>
        <v>0</v>
      </c>
    </row>
    <row r="13" spans="1:8" x14ac:dyDescent="0.35">
      <c r="A13" s="20" t="str">
        <f>'10.Grain Production details'!A67</f>
        <v>Soybean</v>
      </c>
      <c r="B13" s="20">
        <f>'10.Grain Production details'!B67</f>
        <v>0</v>
      </c>
      <c r="C13" s="20">
        <f>'10.Grain Production details'!C67</f>
        <v>0</v>
      </c>
      <c r="D13" s="20">
        <f>'10.Grain Production details'!D67</f>
        <v>0</v>
      </c>
      <c r="E13" s="20">
        <f>'10.Grain Production details'!E67</f>
        <v>0</v>
      </c>
      <c r="F13" s="20">
        <f>'10.Grain Production details'!F67</f>
        <v>0</v>
      </c>
      <c r="G13" s="20">
        <f>'10.Grain Production details'!G67</f>
        <v>0</v>
      </c>
      <c r="H13" s="20">
        <f>'10.Grain Production details'!H67</f>
        <v>0</v>
      </c>
    </row>
    <row r="14" spans="1:8" x14ac:dyDescent="0.35">
      <c r="A14" s="20" t="str">
        <f>'10.Grain Production details'!A68</f>
        <v>Tur</v>
      </c>
      <c r="B14" s="20">
        <f>'10.Grain Production details'!B68</f>
        <v>0</v>
      </c>
      <c r="C14" s="20">
        <f>'10.Grain Production details'!C68</f>
        <v>0</v>
      </c>
      <c r="D14" s="20">
        <f>'10.Grain Production details'!D68</f>
        <v>0</v>
      </c>
      <c r="E14" s="20">
        <f>'10.Grain Production details'!E68</f>
        <v>0</v>
      </c>
      <c r="F14" s="20">
        <f>'10.Grain Production details'!F68</f>
        <v>0</v>
      </c>
      <c r="G14" s="20">
        <f>'10.Grain Production details'!G68</f>
        <v>0</v>
      </c>
      <c r="H14" s="20">
        <f>'10.Grain Production details'!H68</f>
        <v>0</v>
      </c>
    </row>
    <row r="15" spans="1:8" x14ac:dyDescent="0.35">
      <c r="A15" s="20" t="str">
        <f>'10.Grain Production details'!A69</f>
        <v>Turmeric</v>
      </c>
      <c r="B15" s="20">
        <f>'10.Grain Production details'!B69</f>
        <v>0</v>
      </c>
      <c r="C15" s="20">
        <f>'10.Grain Production details'!C69</f>
        <v>0</v>
      </c>
      <c r="D15" s="20">
        <f>'10.Grain Production details'!D69</f>
        <v>0</v>
      </c>
      <c r="E15" s="20">
        <f>'10.Grain Production details'!E69</f>
        <v>0</v>
      </c>
      <c r="F15" s="20">
        <f>'10.Grain Production details'!F69</f>
        <v>0</v>
      </c>
      <c r="G15" s="20">
        <f>'10.Grain Production details'!G69</f>
        <v>0</v>
      </c>
      <c r="H15" s="20">
        <f>'10.Grain Production details'!H69</f>
        <v>0</v>
      </c>
    </row>
    <row r="16" spans="1:8" x14ac:dyDescent="0.35">
      <c r="A16" s="20" t="str">
        <f>'10.Grain Production details'!A70</f>
        <v>Moong</v>
      </c>
      <c r="B16" s="20">
        <f>'10.Grain Production details'!B70</f>
        <v>0</v>
      </c>
      <c r="C16" s="20">
        <f>'10.Grain Production details'!C70</f>
        <v>0</v>
      </c>
      <c r="D16" s="20">
        <f>'10.Grain Production details'!D70</f>
        <v>0</v>
      </c>
      <c r="E16" s="20">
        <f>'10.Grain Production details'!E70</f>
        <v>0</v>
      </c>
      <c r="F16" s="20">
        <f>'10.Grain Production details'!F70</f>
        <v>0</v>
      </c>
      <c r="G16" s="20">
        <f>'10.Grain Production details'!G70</f>
        <v>0</v>
      </c>
      <c r="H16" s="20">
        <f>'10.Grain Production details'!H70</f>
        <v>0</v>
      </c>
    </row>
    <row r="17" spans="1:8" x14ac:dyDescent="0.35">
      <c r="A17" s="20" t="str">
        <f>'10.Grain Production details'!A71</f>
        <v>Maize</v>
      </c>
      <c r="B17" s="20">
        <f>'10.Grain Production details'!B71</f>
        <v>0</v>
      </c>
      <c r="C17" s="20">
        <f>'10.Grain Production details'!C71</f>
        <v>0</v>
      </c>
      <c r="D17" s="20">
        <f>'10.Grain Production details'!D71</f>
        <v>0</v>
      </c>
      <c r="E17" s="20">
        <f>'10.Grain Production details'!E71</f>
        <v>0</v>
      </c>
      <c r="F17" s="20">
        <f>'10.Grain Production details'!F71</f>
        <v>0</v>
      </c>
      <c r="G17" s="20">
        <f>'10.Grain Production details'!G71</f>
        <v>0</v>
      </c>
      <c r="H17" s="20">
        <f>'10.Grain Production details'!H71</f>
        <v>0</v>
      </c>
    </row>
    <row r="18" spans="1:8" x14ac:dyDescent="0.35">
      <c r="A18" s="20" t="str">
        <f>'10.Grain Production details'!A72</f>
        <v>Udid</v>
      </c>
      <c r="B18" s="20">
        <f>'10.Grain Production details'!B72</f>
        <v>0</v>
      </c>
      <c r="C18" s="20">
        <f>'10.Grain Production details'!C72</f>
        <v>0</v>
      </c>
      <c r="D18" s="20">
        <f>'10.Grain Production details'!D72</f>
        <v>0</v>
      </c>
      <c r="E18" s="20">
        <f>'10.Grain Production details'!E72</f>
        <v>0</v>
      </c>
      <c r="F18" s="20">
        <f>'10.Grain Production details'!F72</f>
        <v>0</v>
      </c>
      <c r="G18" s="20">
        <f>'10.Grain Production details'!G72</f>
        <v>0</v>
      </c>
      <c r="H18" s="20">
        <f>'10.Grain Production details'!H72</f>
        <v>0</v>
      </c>
    </row>
    <row r="19" spans="1:8" x14ac:dyDescent="0.35">
      <c r="A19" s="20" t="str">
        <f>'10.Grain Production details'!A73</f>
        <v>Bajra</v>
      </c>
      <c r="B19" s="20">
        <f>'10.Grain Production details'!B73</f>
        <v>0</v>
      </c>
      <c r="C19" s="20">
        <f>'10.Grain Production details'!C73</f>
        <v>0</v>
      </c>
      <c r="D19" s="20">
        <f>'10.Grain Production details'!D73</f>
        <v>0</v>
      </c>
      <c r="E19" s="20">
        <f>'10.Grain Production details'!E73</f>
        <v>0</v>
      </c>
      <c r="F19" s="20">
        <f>'10.Grain Production details'!F73</f>
        <v>0</v>
      </c>
      <c r="G19" s="20">
        <f>'10.Grain Production details'!G73</f>
        <v>0</v>
      </c>
      <c r="H19" s="20">
        <f>'10.Grain Production details'!H73</f>
        <v>0</v>
      </c>
    </row>
    <row r="20" spans="1:8" x14ac:dyDescent="0.35">
      <c r="A20" s="20" t="str">
        <f>'10.Grain Production details'!A74</f>
        <v>Jawar</v>
      </c>
      <c r="B20" s="20">
        <f>'10.Grain Production details'!B74</f>
        <v>0</v>
      </c>
      <c r="C20" s="20">
        <f>'10.Grain Production details'!C74</f>
        <v>0</v>
      </c>
      <c r="D20" s="20">
        <f>'10.Grain Production details'!D74</f>
        <v>0</v>
      </c>
      <c r="E20" s="20">
        <f>'10.Grain Production details'!E74</f>
        <v>0</v>
      </c>
      <c r="F20" s="20">
        <f>'10.Grain Production details'!F74</f>
        <v>0</v>
      </c>
      <c r="G20" s="20">
        <f>'10.Grain Production details'!G74</f>
        <v>0</v>
      </c>
      <c r="H20" s="20">
        <f>'10.Grain Production details'!H74</f>
        <v>0</v>
      </c>
    </row>
    <row r="21" spans="1:8" x14ac:dyDescent="0.35">
      <c r="A21" s="20">
        <f>'10.Grain Production details'!A75</f>
        <v>0</v>
      </c>
      <c r="B21" s="20">
        <f>'10.Grain Production details'!B75</f>
        <v>0</v>
      </c>
      <c r="C21" s="20">
        <f>'10.Grain Production details'!C75</f>
        <v>0</v>
      </c>
      <c r="D21" s="20">
        <f>'10.Grain Production details'!D75</f>
        <v>0</v>
      </c>
      <c r="E21" s="20">
        <f>'10.Grain Production details'!E75</f>
        <v>0</v>
      </c>
      <c r="F21" s="20">
        <f>'10.Grain Production details'!F75</f>
        <v>0</v>
      </c>
      <c r="G21" s="20">
        <f>'10.Grain Production details'!G75</f>
        <v>0</v>
      </c>
      <c r="H21" s="20">
        <f>'10.Grain Production details'!H75</f>
        <v>0</v>
      </c>
    </row>
    <row r="22" spans="1:8" x14ac:dyDescent="0.35">
      <c r="A22" s="20" t="str">
        <f>'10.Grain Production details'!A76</f>
        <v>Wheat</v>
      </c>
      <c r="B22" s="20">
        <f>'10.Grain Production details'!B76</f>
        <v>0</v>
      </c>
      <c r="C22" s="20">
        <f>'10.Grain Production details'!C76</f>
        <v>0</v>
      </c>
      <c r="D22" s="20">
        <f>'10.Grain Production details'!D76</f>
        <v>0</v>
      </c>
      <c r="E22" s="20">
        <f>'10.Grain Production details'!E76</f>
        <v>0</v>
      </c>
      <c r="F22" s="20">
        <f>'10.Grain Production details'!F76</f>
        <v>0</v>
      </c>
      <c r="G22" s="20">
        <f>'10.Grain Production details'!G76</f>
        <v>0</v>
      </c>
      <c r="H22" s="20">
        <f>'10.Grain Production details'!H76</f>
        <v>0</v>
      </c>
    </row>
    <row r="23" spans="1:8" x14ac:dyDescent="0.35">
      <c r="A23" s="20" t="str">
        <f>'10.Grain Production details'!A77</f>
        <v>Channa</v>
      </c>
      <c r="B23" s="20">
        <f>'10.Grain Production details'!B77</f>
        <v>0</v>
      </c>
      <c r="C23" s="20">
        <f>'10.Grain Production details'!C77</f>
        <v>0</v>
      </c>
      <c r="D23" s="20">
        <f>'10.Grain Production details'!D77</f>
        <v>0</v>
      </c>
      <c r="E23" s="20">
        <f>'10.Grain Production details'!E77</f>
        <v>0</v>
      </c>
      <c r="F23" s="20">
        <f>'10.Grain Production details'!F77</f>
        <v>0</v>
      </c>
      <c r="G23" s="20">
        <f>'10.Grain Production details'!G77</f>
        <v>0</v>
      </c>
      <c r="H23" s="20">
        <f>'10.Grain Production details'!H77</f>
        <v>0</v>
      </c>
    </row>
    <row r="24" spans="1:8" x14ac:dyDescent="0.35">
      <c r="A24" s="20" t="str">
        <f>'10.Grain Production details'!A78</f>
        <v>Jawar</v>
      </c>
      <c r="B24" s="20">
        <f>'10.Grain Production details'!B78</f>
        <v>0</v>
      </c>
      <c r="C24" s="20">
        <f>'10.Grain Production details'!C78</f>
        <v>0</v>
      </c>
      <c r="D24" s="20">
        <f>'10.Grain Production details'!D78</f>
        <v>0</v>
      </c>
      <c r="E24" s="20">
        <f>'10.Grain Production details'!E78</f>
        <v>0</v>
      </c>
      <c r="F24" s="20">
        <f>'10.Grain Production details'!F78</f>
        <v>0</v>
      </c>
      <c r="G24" s="20">
        <f>'10.Grain Production details'!G78</f>
        <v>0</v>
      </c>
      <c r="H24" s="20">
        <f>'10.Grain Production details'!H78</f>
        <v>0</v>
      </c>
    </row>
    <row r="25" spans="1:8" x14ac:dyDescent="0.35">
      <c r="A25" s="20" t="str">
        <f>'10.Grain Production details'!A79</f>
        <v>Maize</v>
      </c>
      <c r="B25" s="20">
        <f>'10.Grain Production details'!B79</f>
        <v>0</v>
      </c>
      <c r="C25" s="20">
        <f>'10.Grain Production details'!C79</f>
        <v>0</v>
      </c>
      <c r="D25" s="20">
        <f>'10.Grain Production details'!D79</f>
        <v>0</v>
      </c>
      <c r="E25" s="20">
        <f>'10.Grain Production details'!E79</f>
        <v>0</v>
      </c>
      <c r="F25" s="20">
        <f>'10.Grain Production details'!F79</f>
        <v>0</v>
      </c>
      <c r="G25" s="20">
        <f>'10.Grain Production details'!G79</f>
        <v>0</v>
      </c>
      <c r="H25" s="20">
        <f>'10.Grain Production details'!H79</f>
        <v>0</v>
      </c>
    </row>
    <row r="26" spans="1:8" x14ac:dyDescent="0.35">
      <c r="A26" s="20" t="str">
        <f>'10.Grain Production details'!A80</f>
        <v>Safflower</v>
      </c>
      <c r="B26" s="20">
        <f>'10.Grain Production details'!B80</f>
        <v>0</v>
      </c>
      <c r="C26" s="20">
        <f>'10.Grain Production details'!C80</f>
        <v>0</v>
      </c>
      <c r="D26" s="20">
        <f>'10.Grain Production details'!D80</f>
        <v>0</v>
      </c>
      <c r="E26" s="20">
        <f>'10.Grain Production details'!E80</f>
        <v>0</v>
      </c>
      <c r="F26" s="20">
        <f>'10.Grain Production details'!F80</f>
        <v>0</v>
      </c>
      <c r="G26" s="20">
        <f>'10.Grain Production details'!G80</f>
        <v>0</v>
      </c>
      <c r="H26" s="20">
        <f>'10.Grain Production details'!H80</f>
        <v>0</v>
      </c>
    </row>
    <row r="27" spans="1:8" x14ac:dyDescent="0.35">
      <c r="A27" s="20" t="str">
        <f>'10.Grain Production details'!A81</f>
        <v>Groundnut</v>
      </c>
      <c r="B27" s="20">
        <f>'10.Grain Production details'!B81</f>
        <v>0</v>
      </c>
      <c r="C27" s="20">
        <f>'10.Grain Production details'!C81</f>
        <v>0</v>
      </c>
      <c r="D27" s="20">
        <f>'10.Grain Production details'!D81</f>
        <v>0</v>
      </c>
      <c r="E27" s="20">
        <f>'10.Grain Production details'!E81</f>
        <v>0</v>
      </c>
      <c r="F27" s="20">
        <f>'10.Grain Production details'!F81</f>
        <v>0</v>
      </c>
      <c r="G27" s="20">
        <f>'10.Grain Production details'!G81</f>
        <v>0</v>
      </c>
      <c r="H27" s="20">
        <f>'10.Grain Production details'!H81</f>
        <v>0</v>
      </c>
    </row>
    <row r="28" spans="1:8" x14ac:dyDescent="0.35">
      <c r="A28" s="20">
        <f>'10.Grain Production details'!A82</f>
        <v>0</v>
      </c>
      <c r="B28" s="20">
        <f>'10.Grain Production details'!B82</f>
        <v>0</v>
      </c>
      <c r="C28" s="20">
        <f>'10.Grain Production details'!C82</f>
        <v>0</v>
      </c>
      <c r="D28" s="20">
        <f>'10.Grain Production details'!D82</f>
        <v>0</v>
      </c>
      <c r="E28" s="20">
        <f>'10.Grain Production details'!E82</f>
        <v>0</v>
      </c>
      <c r="F28" s="20">
        <f>'10.Grain Production details'!F82</f>
        <v>0</v>
      </c>
      <c r="G28" s="20">
        <f>'10.Grain Production details'!G82</f>
        <v>0</v>
      </c>
      <c r="H28" s="20">
        <f>'10.Grain Production details'!H82</f>
        <v>0</v>
      </c>
    </row>
    <row r="29" spans="1:8" x14ac:dyDescent="0.35">
      <c r="A29" s="20">
        <f>'10.Grain Production details'!A83</f>
        <v>0</v>
      </c>
      <c r="B29" s="20">
        <f>'10.Grain Production details'!B83</f>
        <v>0</v>
      </c>
      <c r="C29" s="20">
        <f>'10.Grain Production details'!C83</f>
        <v>0</v>
      </c>
      <c r="D29" s="20">
        <f>'10.Grain Production details'!D83</f>
        <v>0</v>
      </c>
      <c r="E29" s="20">
        <f>'10.Grain Production details'!E83</f>
        <v>0</v>
      </c>
      <c r="F29" s="20">
        <f>'10.Grain Production details'!F83</f>
        <v>0</v>
      </c>
      <c r="G29" s="20">
        <f>'10.Grain Production details'!G83</f>
        <v>0</v>
      </c>
      <c r="H29" s="20">
        <f>'10.Grain Production details'!H83</f>
        <v>0</v>
      </c>
    </row>
    <row r="30" spans="1:8" x14ac:dyDescent="0.35">
      <c r="A30" s="20" t="str">
        <f>'10.Grain Production details'!A84</f>
        <v>Soybean</v>
      </c>
      <c r="B30" s="20">
        <f>'10.Grain Production details'!B84</f>
        <v>0</v>
      </c>
      <c r="C30" s="20">
        <f>'10.Grain Production details'!C84</f>
        <v>0</v>
      </c>
      <c r="D30" s="20">
        <f>'10.Grain Production details'!D84</f>
        <v>0</v>
      </c>
      <c r="E30" s="20">
        <f>'10.Grain Production details'!E84</f>
        <v>0</v>
      </c>
      <c r="F30" s="20">
        <f>'10.Grain Production details'!F84</f>
        <v>0</v>
      </c>
      <c r="G30" s="20">
        <f>'10.Grain Production details'!G84</f>
        <v>0</v>
      </c>
      <c r="H30" s="20">
        <f>'10.Grain Production details'!H84</f>
        <v>0</v>
      </c>
    </row>
    <row r="31" spans="1:8" x14ac:dyDescent="0.35">
      <c r="A31" s="20">
        <f>'10.Grain Production details'!A85</f>
        <v>0</v>
      </c>
      <c r="B31" s="20">
        <f>'10.Grain Production details'!B85</f>
        <v>0</v>
      </c>
      <c r="C31" s="20">
        <f>'10.Grain Production details'!C85</f>
        <v>0</v>
      </c>
      <c r="D31" s="20">
        <f>'10.Grain Production details'!D85</f>
        <v>0</v>
      </c>
      <c r="E31" s="20">
        <f>'10.Grain Production details'!E85</f>
        <v>0</v>
      </c>
      <c r="F31" s="20">
        <f>'10.Grain Production details'!F85</f>
        <v>0</v>
      </c>
      <c r="G31" s="20">
        <f>'10.Grain Production details'!G85</f>
        <v>0</v>
      </c>
      <c r="H31" s="20">
        <f>'10.Grain Production details'!H85</f>
        <v>0</v>
      </c>
    </row>
    <row r="32" spans="1:8" x14ac:dyDescent="0.35">
      <c r="A32" s="20" t="s">
        <v>460</v>
      </c>
      <c r="B32" s="20">
        <f>SUM(B13:B31)</f>
        <v>0</v>
      </c>
      <c r="C32" s="20">
        <f t="shared" ref="C32:H32" si="1">SUM(C13:C31)</f>
        <v>0</v>
      </c>
      <c r="D32" s="20">
        <f t="shared" si="1"/>
        <v>0</v>
      </c>
      <c r="E32" s="20">
        <f t="shared" si="1"/>
        <v>0</v>
      </c>
      <c r="F32" s="20">
        <f t="shared" si="1"/>
        <v>0</v>
      </c>
      <c r="G32" s="20">
        <f t="shared" si="1"/>
        <v>0</v>
      </c>
      <c r="H32" s="20">
        <f t="shared" si="1"/>
        <v>0</v>
      </c>
    </row>
    <row r="33" spans="1:8" x14ac:dyDescent="0.35">
      <c r="A33" s="86" t="s">
        <v>161</v>
      </c>
      <c r="B33" s="55">
        <v>0.1</v>
      </c>
      <c r="C33" s="55">
        <f>B33</f>
        <v>0.1</v>
      </c>
      <c r="D33" s="55">
        <f t="shared" ref="D33:H33" si="2">C33</f>
        <v>0.1</v>
      </c>
      <c r="E33" s="55">
        <f t="shared" si="2"/>
        <v>0.1</v>
      </c>
      <c r="F33" s="55">
        <f t="shared" si="2"/>
        <v>0.1</v>
      </c>
      <c r="G33" s="55">
        <f t="shared" si="2"/>
        <v>0.1</v>
      </c>
      <c r="H33" s="55">
        <f t="shared" si="2"/>
        <v>0.1</v>
      </c>
    </row>
    <row r="34" spans="1:8" x14ac:dyDescent="0.35">
      <c r="A34" s="23" t="s">
        <v>470</v>
      </c>
      <c r="B34" s="87">
        <f>1-B33</f>
        <v>0.9</v>
      </c>
      <c r="C34" s="87">
        <f t="shared" ref="C34:H34" si="3">1-C33</f>
        <v>0.9</v>
      </c>
      <c r="D34" s="87">
        <f t="shared" si="3"/>
        <v>0.9</v>
      </c>
      <c r="E34" s="87">
        <f t="shared" si="3"/>
        <v>0.9</v>
      </c>
      <c r="F34" s="87">
        <f t="shared" si="3"/>
        <v>0.9</v>
      </c>
      <c r="G34" s="87">
        <f t="shared" si="3"/>
        <v>0.9</v>
      </c>
      <c r="H34" s="87">
        <f t="shared" si="3"/>
        <v>0.9</v>
      </c>
    </row>
    <row r="35" spans="1:8" x14ac:dyDescent="0.35">
      <c r="A35" s="22" t="s">
        <v>161</v>
      </c>
      <c r="B35" s="52">
        <f>B32*B33</f>
        <v>0</v>
      </c>
      <c r="C35" s="52">
        <f t="shared" ref="C35:H35" si="4">C32*C33</f>
        <v>0</v>
      </c>
      <c r="D35" s="52">
        <f t="shared" si="4"/>
        <v>0</v>
      </c>
      <c r="E35" s="52">
        <f t="shared" si="4"/>
        <v>0</v>
      </c>
      <c r="F35" s="52">
        <f t="shared" si="4"/>
        <v>0</v>
      </c>
      <c r="G35" s="52">
        <f t="shared" si="4"/>
        <v>0</v>
      </c>
      <c r="H35" s="52">
        <f t="shared" si="4"/>
        <v>0</v>
      </c>
    </row>
    <row r="36" spans="1:8" x14ac:dyDescent="0.35">
      <c r="A36" s="22" t="s">
        <v>162</v>
      </c>
      <c r="B36" s="27"/>
      <c r="C36" s="27"/>
      <c r="D36" s="27"/>
      <c r="E36" s="27"/>
      <c r="F36" s="27"/>
      <c r="G36" s="27"/>
      <c r="H36" s="27"/>
    </row>
    <row r="37" spans="1:8" x14ac:dyDescent="0.35">
      <c r="A37" s="20" t="str">
        <f t="shared" ref="A37:A55" si="5">A13</f>
        <v>Soybean</v>
      </c>
      <c r="B37" s="21">
        <f t="shared" ref="B37:B55" si="6">B13*$B$34</f>
        <v>0</v>
      </c>
      <c r="C37" s="21">
        <f t="shared" ref="C37:H37" si="7">C13*$B$34</f>
        <v>0</v>
      </c>
      <c r="D37" s="21">
        <f t="shared" si="7"/>
        <v>0</v>
      </c>
      <c r="E37" s="21">
        <f t="shared" si="7"/>
        <v>0</v>
      </c>
      <c r="F37" s="21">
        <f t="shared" si="7"/>
        <v>0</v>
      </c>
      <c r="G37" s="21">
        <f t="shared" si="7"/>
        <v>0</v>
      </c>
      <c r="H37" s="21">
        <f t="shared" si="7"/>
        <v>0</v>
      </c>
    </row>
    <row r="38" spans="1:8" x14ac:dyDescent="0.35">
      <c r="A38" s="20" t="str">
        <f t="shared" si="5"/>
        <v>Tur</v>
      </c>
      <c r="B38" s="21">
        <f>B14*$B$34</f>
        <v>0</v>
      </c>
      <c r="C38" s="21">
        <f t="shared" ref="C38:C55" si="8">C14*$C$34</f>
        <v>0</v>
      </c>
      <c r="D38" s="21">
        <f t="shared" ref="D38:D55" si="9">D14*$D$34</f>
        <v>0</v>
      </c>
      <c r="E38" s="21">
        <f t="shared" ref="E38:E55" si="10">E14*$E$34</f>
        <v>0</v>
      </c>
      <c r="F38" s="21">
        <f t="shared" ref="F38:F55" si="11">F14*$F$34</f>
        <v>0</v>
      </c>
      <c r="G38" s="21">
        <f t="shared" ref="G38:G55" si="12">G14*$G$34</f>
        <v>0</v>
      </c>
      <c r="H38" s="21">
        <f t="shared" ref="H38:H55" si="13">H14*$H$34</f>
        <v>0</v>
      </c>
    </row>
    <row r="39" spans="1:8" x14ac:dyDescent="0.35">
      <c r="A39" s="20" t="str">
        <f t="shared" si="5"/>
        <v>Turmeric</v>
      </c>
      <c r="B39" s="21">
        <f t="shared" si="6"/>
        <v>0</v>
      </c>
      <c r="C39" s="21">
        <f t="shared" si="8"/>
        <v>0</v>
      </c>
      <c r="D39" s="21">
        <f t="shared" si="9"/>
        <v>0</v>
      </c>
      <c r="E39" s="21">
        <f t="shared" si="10"/>
        <v>0</v>
      </c>
      <c r="F39" s="21">
        <f t="shared" si="11"/>
        <v>0</v>
      </c>
      <c r="G39" s="21">
        <f t="shared" si="12"/>
        <v>0</v>
      </c>
      <c r="H39" s="21">
        <f t="shared" si="13"/>
        <v>0</v>
      </c>
    </row>
    <row r="40" spans="1:8" x14ac:dyDescent="0.35">
      <c r="A40" s="20" t="str">
        <f t="shared" si="5"/>
        <v>Moong</v>
      </c>
      <c r="B40" s="21">
        <f t="shared" si="6"/>
        <v>0</v>
      </c>
      <c r="C40" s="21">
        <f t="shared" si="8"/>
        <v>0</v>
      </c>
      <c r="D40" s="21">
        <f t="shared" si="9"/>
        <v>0</v>
      </c>
      <c r="E40" s="21">
        <f t="shared" si="10"/>
        <v>0</v>
      </c>
      <c r="F40" s="21">
        <f t="shared" si="11"/>
        <v>0</v>
      </c>
      <c r="G40" s="21">
        <f t="shared" si="12"/>
        <v>0</v>
      </c>
      <c r="H40" s="21">
        <f t="shared" si="13"/>
        <v>0</v>
      </c>
    </row>
    <row r="41" spans="1:8" x14ac:dyDescent="0.35">
      <c r="A41" s="20" t="str">
        <f t="shared" si="5"/>
        <v>Maize</v>
      </c>
      <c r="B41" s="21">
        <f t="shared" si="6"/>
        <v>0</v>
      </c>
      <c r="C41" s="21">
        <f t="shared" si="8"/>
        <v>0</v>
      </c>
      <c r="D41" s="21">
        <f t="shared" si="9"/>
        <v>0</v>
      </c>
      <c r="E41" s="21">
        <f t="shared" si="10"/>
        <v>0</v>
      </c>
      <c r="F41" s="21">
        <f t="shared" si="11"/>
        <v>0</v>
      </c>
      <c r="G41" s="21">
        <f t="shared" si="12"/>
        <v>0</v>
      </c>
      <c r="H41" s="21">
        <f t="shared" si="13"/>
        <v>0</v>
      </c>
    </row>
    <row r="42" spans="1:8" x14ac:dyDescent="0.35">
      <c r="A42" s="20" t="str">
        <f t="shared" si="5"/>
        <v>Udid</v>
      </c>
      <c r="B42" s="21">
        <f t="shared" si="6"/>
        <v>0</v>
      </c>
      <c r="C42" s="21">
        <f t="shared" si="8"/>
        <v>0</v>
      </c>
      <c r="D42" s="21">
        <f t="shared" si="9"/>
        <v>0</v>
      </c>
      <c r="E42" s="21">
        <f t="shared" si="10"/>
        <v>0</v>
      </c>
      <c r="F42" s="21">
        <f t="shared" si="11"/>
        <v>0</v>
      </c>
      <c r="G42" s="21">
        <f t="shared" si="12"/>
        <v>0</v>
      </c>
      <c r="H42" s="21">
        <f t="shared" si="13"/>
        <v>0</v>
      </c>
    </row>
    <row r="43" spans="1:8" x14ac:dyDescent="0.35">
      <c r="A43" s="20" t="str">
        <f t="shared" si="5"/>
        <v>Bajra</v>
      </c>
      <c r="B43" s="21">
        <f t="shared" si="6"/>
        <v>0</v>
      </c>
      <c r="C43" s="21">
        <f t="shared" si="8"/>
        <v>0</v>
      </c>
      <c r="D43" s="21">
        <f t="shared" si="9"/>
        <v>0</v>
      </c>
      <c r="E43" s="21">
        <f t="shared" si="10"/>
        <v>0</v>
      </c>
      <c r="F43" s="21">
        <f t="shared" si="11"/>
        <v>0</v>
      </c>
      <c r="G43" s="21">
        <f t="shared" si="12"/>
        <v>0</v>
      </c>
      <c r="H43" s="21">
        <f t="shared" si="13"/>
        <v>0</v>
      </c>
    </row>
    <row r="44" spans="1:8" x14ac:dyDescent="0.35">
      <c r="A44" s="20" t="str">
        <f t="shared" si="5"/>
        <v>Jawar</v>
      </c>
      <c r="B44" s="21">
        <f t="shared" si="6"/>
        <v>0</v>
      </c>
      <c r="C44" s="21">
        <f t="shared" si="8"/>
        <v>0</v>
      </c>
      <c r="D44" s="21">
        <f t="shared" si="9"/>
        <v>0</v>
      </c>
      <c r="E44" s="21">
        <f t="shared" si="10"/>
        <v>0</v>
      </c>
      <c r="F44" s="21">
        <f t="shared" si="11"/>
        <v>0</v>
      </c>
      <c r="G44" s="21">
        <f t="shared" si="12"/>
        <v>0</v>
      </c>
      <c r="H44" s="21">
        <f t="shared" si="13"/>
        <v>0</v>
      </c>
    </row>
    <row r="45" spans="1:8" x14ac:dyDescent="0.35">
      <c r="A45" s="20">
        <f t="shared" si="5"/>
        <v>0</v>
      </c>
      <c r="B45" s="21">
        <f t="shared" si="6"/>
        <v>0</v>
      </c>
      <c r="C45" s="21">
        <f t="shared" si="8"/>
        <v>0</v>
      </c>
      <c r="D45" s="21">
        <f t="shared" si="9"/>
        <v>0</v>
      </c>
      <c r="E45" s="21">
        <f t="shared" si="10"/>
        <v>0</v>
      </c>
      <c r="F45" s="21">
        <f t="shared" si="11"/>
        <v>0</v>
      </c>
      <c r="G45" s="21">
        <f t="shared" si="12"/>
        <v>0</v>
      </c>
      <c r="H45" s="21">
        <f t="shared" si="13"/>
        <v>0</v>
      </c>
    </row>
    <row r="46" spans="1:8" x14ac:dyDescent="0.35">
      <c r="A46" s="20" t="str">
        <f t="shared" si="5"/>
        <v>Wheat</v>
      </c>
      <c r="B46" s="21">
        <f t="shared" si="6"/>
        <v>0</v>
      </c>
      <c r="C46" s="21">
        <f t="shared" si="8"/>
        <v>0</v>
      </c>
      <c r="D46" s="21">
        <f t="shared" si="9"/>
        <v>0</v>
      </c>
      <c r="E46" s="21">
        <f t="shared" si="10"/>
        <v>0</v>
      </c>
      <c r="F46" s="21">
        <f t="shared" si="11"/>
        <v>0</v>
      </c>
      <c r="G46" s="21">
        <f t="shared" si="12"/>
        <v>0</v>
      </c>
      <c r="H46" s="21">
        <f t="shared" si="13"/>
        <v>0</v>
      </c>
    </row>
    <row r="47" spans="1:8" x14ac:dyDescent="0.35">
      <c r="A47" s="20" t="str">
        <f t="shared" si="5"/>
        <v>Channa</v>
      </c>
      <c r="B47" s="21">
        <f t="shared" si="6"/>
        <v>0</v>
      </c>
      <c r="C47" s="21">
        <f t="shared" si="8"/>
        <v>0</v>
      </c>
      <c r="D47" s="21">
        <f t="shared" si="9"/>
        <v>0</v>
      </c>
      <c r="E47" s="21">
        <f t="shared" si="10"/>
        <v>0</v>
      </c>
      <c r="F47" s="21">
        <f t="shared" si="11"/>
        <v>0</v>
      </c>
      <c r="G47" s="21">
        <f t="shared" si="12"/>
        <v>0</v>
      </c>
      <c r="H47" s="21">
        <f t="shared" si="13"/>
        <v>0</v>
      </c>
    </row>
    <row r="48" spans="1:8" x14ac:dyDescent="0.35">
      <c r="A48" s="20" t="str">
        <f t="shared" si="5"/>
        <v>Jawar</v>
      </c>
      <c r="B48" s="21">
        <f t="shared" si="6"/>
        <v>0</v>
      </c>
      <c r="C48" s="21">
        <f t="shared" si="8"/>
        <v>0</v>
      </c>
      <c r="D48" s="21">
        <f t="shared" si="9"/>
        <v>0</v>
      </c>
      <c r="E48" s="21">
        <f t="shared" si="10"/>
        <v>0</v>
      </c>
      <c r="F48" s="21">
        <f t="shared" si="11"/>
        <v>0</v>
      </c>
      <c r="G48" s="21">
        <f t="shared" si="12"/>
        <v>0</v>
      </c>
      <c r="H48" s="21">
        <f t="shared" si="13"/>
        <v>0</v>
      </c>
    </row>
    <row r="49" spans="1:8" x14ac:dyDescent="0.35">
      <c r="A49" s="20" t="str">
        <f t="shared" si="5"/>
        <v>Maize</v>
      </c>
      <c r="B49" s="21">
        <f t="shared" si="6"/>
        <v>0</v>
      </c>
      <c r="C49" s="21">
        <f t="shared" si="8"/>
        <v>0</v>
      </c>
      <c r="D49" s="21">
        <f t="shared" si="9"/>
        <v>0</v>
      </c>
      <c r="E49" s="21">
        <f t="shared" si="10"/>
        <v>0</v>
      </c>
      <c r="F49" s="21">
        <f t="shared" si="11"/>
        <v>0</v>
      </c>
      <c r="G49" s="21">
        <f t="shared" si="12"/>
        <v>0</v>
      </c>
      <c r="H49" s="21">
        <f t="shared" si="13"/>
        <v>0</v>
      </c>
    </row>
    <row r="50" spans="1:8" x14ac:dyDescent="0.35">
      <c r="A50" s="20" t="str">
        <f t="shared" si="5"/>
        <v>Safflower</v>
      </c>
      <c r="B50" s="21">
        <f t="shared" si="6"/>
        <v>0</v>
      </c>
      <c r="C50" s="21">
        <f t="shared" si="8"/>
        <v>0</v>
      </c>
      <c r="D50" s="21">
        <f t="shared" si="9"/>
        <v>0</v>
      </c>
      <c r="E50" s="21">
        <f t="shared" si="10"/>
        <v>0</v>
      </c>
      <c r="F50" s="21">
        <f t="shared" si="11"/>
        <v>0</v>
      </c>
      <c r="G50" s="21">
        <f t="shared" si="12"/>
        <v>0</v>
      </c>
      <c r="H50" s="21">
        <f t="shared" si="13"/>
        <v>0</v>
      </c>
    </row>
    <row r="51" spans="1:8" x14ac:dyDescent="0.35">
      <c r="A51" s="20" t="str">
        <f t="shared" si="5"/>
        <v>Groundnut</v>
      </c>
      <c r="B51" s="21">
        <f>B27*$B$34</f>
        <v>0</v>
      </c>
      <c r="C51" s="21">
        <f t="shared" si="8"/>
        <v>0</v>
      </c>
      <c r="D51" s="21">
        <f t="shared" si="9"/>
        <v>0</v>
      </c>
      <c r="E51" s="21">
        <f t="shared" si="10"/>
        <v>0</v>
      </c>
      <c r="F51" s="21">
        <f t="shared" si="11"/>
        <v>0</v>
      </c>
      <c r="G51" s="21">
        <f t="shared" si="12"/>
        <v>0</v>
      </c>
      <c r="H51" s="21">
        <f t="shared" si="13"/>
        <v>0</v>
      </c>
    </row>
    <row r="52" spans="1:8" x14ac:dyDescent="0.35">
      <c r="A52" s="20">
        <f t="shared" si="5"/>
        <v>0</v>
      </c>
      <c r="B52" s="21">
        <f t="shared" si="6"/>
        <v>0</v>
      </c>
      <c r="C52" s="21">
        <f t="shared" si="8"/>
        <v>0</v>
      </c>
      <c r="D52" s="21">
        <f t="shared" si="9"/>
        <v>0</v>
      </c>
      <c r="E52" s="21">
        <f t="shared" si="10"/>
        <v>0</v>
      </c>
      <c r="F52" s="21">
        <f t="shared" si="11"/>
        <v>0</v>
      </c>
      <c r="G52" s="21">
        <f t="shared" si="12"/>
        <v>0</v>
      </c>
      <c r="H52" s="21">
        <f t="shared" si="13"/>
        <v>0</v>
      </c>
    </row>
    <row r="53" spans="1:8" x14ac:dyDescent="0.35">
      <c r="A53" s="20">
        <f t="shared" si="5"/>
        <v>0</v>
      </c>
      <c r="B53" s="21">
        <f t="shared" si="6"/>
        <v>0</v>
      </c>
      <c r="C53" s="21">
        <f t="shared" si="8"/>
        <v>0</v>
      </c>
      <c r="D53" s="21">
        <f t="shared" si="9"/>
        <v>0</v>
      </c>
      <c r="E53" s="21">
        <f t="shared" si="10"/>
        <v>0</v>
      </c>
      <c r="F53" s="21">
        <f t="shared" si="11"/>
        <v>0</v>
      </c>
      <c r="G53" s="21">
        <f t="shared" si="12"/>
        <v>0</v>
      </c>
      <c r="H53" s="21">
        <f t="shared" si="13"/>
        <v>0</v>
      </c>
    </row>
    <row r="54" spans="1:8" x14ac:dyDescent="0.35">
      <c r="A54" s="20" t="str">
        <f t="shared" si="5"/>
        <v>Soybean</v>
      </c>
      <c r="B54" s="21">
        <f t="shared" si="6"/>
        <v>0</v>
      </c>
      <c r="C54" s="21">
        <f t="shared" si="8"/>
        <v>0</v>
      </c>
      <c r="D54" s="21">
        <f t="shared" si="9"/>
        <v>0</v>
      </c>
      <c r="E54" s="21">
        <f t="shared" si="10"/>
        <v>0</v>
      </c>
      <c r="F54" s="21">
        <f t="shared" si="11"/>
        <v>0</v>
      </c>
      <c r="G54" s="21">
        <f t="shared" si="12"/>
        <v>0</v>
      </c>
      <c r="H54" s="21">
        <f t="shared" si="13"/>
        <v>0</v>
      </c>
    </row>
    <row r="55" spans="1:8" x14ac:dyDescent="0.35">
      <c r="A55" s="20">
        <f t="shared" si="5"/>
        <v>0</v>
      </c>
      <c r="B55" s="21">
        <f t="shared" si="6"/>
        <v>0</v>
      </c>
      <c r="C55" s="21">
        <f t="shared" si="8"/>
        <v>0</v>
      </c>
      <c r="D55" s="21">
        <f t="shared" si="9"/>
        <v>0</v>
      </c>
      <c r="E55" s="21">
        <f t="shared" si="10"/>
        <v>0</v>
      </c>
      <c r="F55" s="21">
        <f t="shared" si="11"/>
        <v>0</v>
      </c>
      <c r="G55" s="21">
        <f t="shared" si="12"/>
        <v>0</v>
      </c>
      <c r="H55" s="21">
        <f t="shared" si="13"/>
        <v>0</v>
      </c>
    </row>
    <row r="56" spans="1:8" x14ac:dyDescent="0.35">
      <c r="A56" s="20"/>
      <c r="B56" s="20"/>
      <c r="C56" s="20"/>
      <c r="D56" s="20"/>
      <c r="E56" s="20"/>
      <c r="F56" s="20"/>
      <c r="G56" s="20"/>
      <c r="H56" s="20"/>
    </row>
    <row r="57" spans="1:8" x14ac:dyDescent="0.35">
      <c r="A57" s="22" t="s">
        <v>283</v>
      </c>
      <c r="B57" s="20"/>
      <c r="C57" s="20"/>
      <c r="D57" s="20"/>
      <c r="E57" s="20"/>
      <c r="F57" s="20"/>
      <c r="G57" s="20"/>
      <c r="H57" s="20"/>
    </row>
    <row r="58" spans="1:8" x14ac:dyDescent="0.35">
      <c r="A58" s="20" t="str">
        <f>A37</f>
        <v>Soybean</v>
      </c>
      <c r="B58" s="20"/>
      <c r="C58" s="20"/>
      <c r="D58" s="20"/>
      <c r="E58" s="20"/>
      <c r="F58" s="20"/>
      <c r="G58" s="20"/>
      <c r="H58" s="20"/>
    </row>
    <row r="59" spans="1:8" x14ac:dyDescent="0.35">
      <c r="A59" s="20"/>
      <c r="B59" s="20"/>
      <c r="C59" s="20"/>
      <c r="D59" s="20"/>
      <c r="E59" s="20"/>
      <c r="F59" s="20"/>
      <c r="G59" s="20"/>
      <c r="H59" s="20"/>
    </row>
    <row r="60" spans="1:8" x14ac:dyDescent="0.35">
      <c r="A60" s="20"/>
      <c r="B60" s="20"/>
      <c r="C60" s="20"/>
      <c r="D60" s="20"/>
      <c r="E60" s="20"/>
      <c r="F60" s="20"/>
      <c r="G60" s="20"/>
      <c r="H60" s="20"/>
    </row>
    <row r="61" spans="1:8" x14ac:dyDescent="0.35">
      <c r="A61" s="20"/>
      <c r="B61" s="20"/>
      <c r="C61" s="20"/>
      <c r="D61" s="20"/>
      <c r="E61" s="20"/>
      <c r="F61" s="20"/>
      <c r="G61" s="20"/>
      <c r="H61" s="20"/>
    </row>
    <row r="62" spans="1:8" x14ac:dyDescent="0.35">
      <c r="A62" s="20" t="str">
        <f>A38</f>
        <v>Tur</v>
      </c>
      <c r="B62" s="35"/>
      <c r="C62" s="35"/>
      <c r="D62" s="35"/>
      <c r="E62" s="35"/>
      <c r="F62" s="35"/>
      <c r="G62" s="35"/>
      <c r="H62" s="35"/>
    </row>
    <row r="63" spans="1:8" x14ac:dyDescent="0.35">
      <c r="A63" s="20" t="s">
        <v>461</v>
      </c>
      <c r="B63" s="35">
        <f>B38*80%</f>
        <v>0</v>
      </c>
      <c r="C63" s="35">
        <f t="shared" ref="C63:H63" si="14">C38*80%</f>
        <v>0</v>
      </c>
      <c r="D63" s="35">
        <f t="shared" si="14"/>
        <v>0</v>
      </c>
      <c r="E63" s="35">
        <f t="shared" si="14"/>
        <v>0</v>
      </c>
      <c r="F63" s="35">
        <f t="shared" si="14"/>
        <v>0</v>
      </c>
      <c r="G63" s="35">
        <f t="shared" si="14"/>
        <v>0</v>
      </c>
      <c r="H63" s="35">
        <f t="shared" si="14"/>
        <v>0</v>
      </c>
    </row>
    <row r="64" spans="1:8" x14ac:dyDescent="0.35">
      <c r="A64" s="20" t="s">
        <v>139</v>
      </c>
      <c r="B64" s="35">
        <f>B38*20%</f>
        <v>0</v>
      </c>
      <c r="C64" s="35">
        <f t="shared" ref="C64:H64" si="15">C38*20%</f>
        <v>0</v>
      </c>
      <c r="D64" s="35">
        <f t="shared" si="15"/>
        <v>0</v>
      </c>
      <c r="E64" s="35">
        <f t="shared" si="15"/>
        <v>0</v>
      </c>
      <c r="F64" s="35">
        <f t="shared" si="15"/>
        <v>0</v>
      </c>
      <c r="G64" s="35">
        <f t="shared" si="15"/>
        <v>0</v>
      </c>
      <c r="H64" s="35">
        <f t="shared" si="15"/>
        <v>0</v>
      </c>
    </row>
    <row r="65" spans="1:8" x14ac:dyDescent="0.35">
      <c r="A65" s="20" t="str">
        <f>A39</f>
        <v>Turmeric</v>
      </c>
      <c r="B65" s="21"/>
      <c r="C65" s="21"/>
      <c r="D65" s="21"/>
      <c r="E65" s="21"/>
      <c r="F65" s="21"/>
      <c r="G65" s="21"/>
      <c r="H65" s="21"/>
    </row>
    <row r="66" spans="1:8" x14ac:dyDescent="0.35">
      <c r="A66" s="20"/>
      <c r="B66" s="21"/>
      <c r="C66" s="21"/>
      <c r="D66" s="21"/>
      <c r="E66" s="21"/>
      <c r="F66" s="21"/>
      <c r="G66" s="21"/>
      <c r="H66" s="21"/>
    </row>
    <row r="67" spans="1:8" x14ac:dyDescent="0.35">
      <c r="A67" s="20"/>
      <c r="B67" s="21"/>
      <c r="C67" s="21"/>
      <c r="D67" s="21"/>
      <c r="E67" s="21"/>
      <c r="F67" s="21"/>
      <c r="G67" s="21"/>
      <c r="H67" s="21"/>
    </row>
    <row r="68" spans="1:8" x14ac:dyDescent="0.35">
      <c r="A68" s="20"/>
      <c r="B68" s="21"/>
      <c r="C68" s="21"/>
      <c r="D68" s="21"/>
      <c r="E68" s="21"/>
      <c r="F68" s="21"/>
      <c r="G68" s="21"/>
      <c r="H68" s="21"/>
    </row>
    <row r="69" spans="1:8" x14ac:dyDescent="0.35">
      <c r="A69" s="20" t="str">
        <f>A40</f>
        <v>Moong</v>
      </c>
      <c r="B69" s="21"/>
      <c r="C69" s="21"/>
      <c r="D69" s="21"/>
      <c r="E69" s="21"/>
      <c r="F69" s="21"/>
      <c r="G69" s="21"/>
      <c r="H69" s="21"/>
    </row>
    <row r="70" spans="1:8" x14ac:dyDescent="0.35">
      <c r="A70" s="20" t="s">
        <v>461</v>
      </c>
      <c r="B70" s="21">
        <f>B40*80%</f>
        <v>0</v>
      </c>
      <c r="C70" s="21">
        <f t="shared" ref="C70:H70" si="16">C40*80%</f>
        <v>0</v>
      </c>
      <c r="D70" s="21">
        <f t="shared" si="16"/>
        <v>0</v>
      </c>
      <c r="E70" s="21">
        <f t="shared" si="16"/>
        <v>0</v>
      </c>
      <c r="F70" s="21">
        <f t="shared" si="16"/>
        <v>0</v>
      </c>
      <c r="G70" s="21">
        <f t="shared" si="16"/>
        <v>0</v>
      </c>
      <c r="H70" s="21">
        <f t="shared" si="16"/>
        <v>0</v>
      </c>
    </row>
    <row r="71" spans="1:8" x14ac:dyDescent="0.35">
      <c r="A71" s="20" t="s">
        <v>139</v>
      </c>
      <c r="B71" s="21">
        <f>B40*20%</f>
        <v>0</v>
      </c>
      <c r="C71" s="21">
        <f t="shared" ref="C71:H71" si="17">C40*20%</f>
        <v>0</v>
      </c>
      <c r="D71" s="21">
        <f t="shared" si="17"/>
        <v>0</v>
      </c>
      <c r="E71" s="21">
        <f t="shared" si="17"/>
        <v>0</v>
      </c>
      <c r="F71" s="21">
        <f t="shared" si="17"/>
        <v>0</v>
      </c>
      <c r="G71" s="21">
        <f t="shared" si="17"/>
        <v>0</v>
      </c>
      <c r="H71" s="21">
        <f t="shared" si="17"/>
        <v>0</v>
      </c>
    </row>
    <row r="72" spans="1:8" x14ac:dyDescent="0.35">
      <c r="A72" s="20" t="str">
        <f>A41</f>
        <v>Maize</v>
      </c>
      <c r="B72" s="21"/>
      <c r="C72" s="21"/>
      <c r="D72" s="21"/>
      <c r="E72" s="21"/>
      <c r="F72" s="21"/>
      <c r="G72" s="21"/>
      <c r="H72" s="21"/>
    </row>
    <row r="73" spans="1:8" x14ac:dyDescent="0.35">
      <c r="A73" s="20"/>
      <c r="B73" s="21"/>
      <c r="C73" s="21"/>
      <c r="D73" s="21"/>
      <c r="E73" s="21"/>
      <c r="F73" s="21"/>
      <c r="G73" s="21"/>
      <c r="H73" s="21"/>
    </row>
    <row r="74" spans="1:8" x14ac:dyDescent="0.35">
      <c r="A74" s="20"/>
      <c r="B74" s="21"/>
      <c r="C74" s="21"/>
      <c r="D74" s="21"/>
      <c r="E74" s="21"/>
      <c r="F74" s="21"/>
      <c r="G74" s="21"/>
      <c r="H74" s="21"/>
    </row>
    <row r="75" spans="1:8" x14ac:dyDescent="0.35">
      <c r="A75" s="20"/>
      <c r="B75" s="21"/>
      <c r="C75" s="21"/>
      <c r="D75" s="21"/>
      <c r="E75" s="21"/>
      <c r="F75" s="21"/>
      <c r="G75" s="21"/>
      <c r="H75" s="21"/>
    </row>
    <row r="76" spans="1:8" x14ac:dyDescent="0.35">
      <c r="A76" s="20"/>
      <c r="B76" s="21"/>
      <c r="C76" s="21"/>
      <c r="D76" s="21"/>
      <c r="E76" s="21"/>
      <c r="F76" s="21"/>
      <c r="G76" s="21"/>
      <c r="H76" s="21"/>
    </row>
    <row r="77" spans="1:8" x14ac:dyDescent="0.35">
      <c r="A77" s="20" t="str">
        <f>A42</f>
        <v>Udid</v>
      </c>
      <c r="B77" s="21"/>
      <c r="C77" s="21"/>
      <c r="D77" s="21"/>
      <c r="E77" s="21"/>
      <c r="F77" s="21"/>
      <c r="G77" s="21"/>
      <c r="H77" s="21"/>
    </row>
    <row r="78" spans="1:8" x14ac:dyDescent="0.35">
      <c r="A78" s="20" t="s">
        <v>461</v>
      </c>
      <c r="B78" s="21">
        <f t="shared" ref="B78:H78" si="18">B42*80%</f>
        <v>0</v>
      </c>
      <c r="C78" s="21">
        <f t="shared" si="18"/>
        <v>0</v>
      </c>
      <c r="D78" s="21">
        <f t="shared" si="18"/>
        <v>0</v>
      </c>
      <c r="E78" s="21">
        <f t="shared" si="18"/>
        <v>0</v>
      </c>
      <c r="F78" s="21">
        <f t="shared" si="18"/>
        <v>0</v>
      </c>
      <c r="G78" s="21">
        <f t="shared" si="18"/>
        <v>0</v>
      </c>
      <c r="H78" s="21">
        <f t="shared" si="18"/>
        <v>0</v>
      </c>
    </row>
    <row r="79" spans="1:8" x14ac:dyDescent="0.35">
      <c r="A79" s="20" t="s">
        <v>139</v>
      </c>
      <c r="B79" s="21">
        <f t="shared" ref="B79:H79" si="19">B42*20%</f>
        <v>0</v>
      </c>
      <c r="C79" s="21">
        <f t="shared" si="19"/>
        <v>0</v>
      </c>
      <c r="D79" s="21">
        <f t="shared" si="19"/>
        <v>0</v>
      </c>
      <c r="E79" s="21">
        <f t="shared" si="19"/>
        <v>0</v>
      </c>
      <c r="F79" s="21">
        <f t="shared" si="19"/>
        <v>0</v>
      </c>
      <c r="G79" s="21">
        <f t="shared" si="19"/>
        <v>0</v>
      </c>
      <c r="H79" s="21">
        <f t="shared" si="19"/>
        <v>0</v>
      </c>
    </row>
    <row r="80" spans="1:8" x14ac:dyDescent="0.35">
      <c r="A80" s="20" t="str">
        <f>A43</f>
        <v>Bajra</v>
      </c>
      <c r="B80" s="21"/>
      <c r="C80" s="21"/>
      <c r="D80" s="21"/>
      <c r="E80" s="21"/>
      <c r="F80" s="21"/>
      <c r="G80" s="21"/>
      <c r="H80" s="21"/>
    </row>
    <row r="81" spans="1:8" x14ac:dyDescent="0.35">
      <c r="A81" s="20"/>
      <c r="B81" s="21"/>
      <c r="C81" s="21"/>
      <c r="D81" s="21"/>
      <c r="E81" s="21"/>
      <c r="F81" s="21"/>
      <c r="G81" s="21"/>
      <c r="H81" s="21"/>
    </row>
    <row r="82" spans="1:8" x14ac:dyDescent="0.35">
      <c r="A82" s="20"/>
      <c r="B82" s="21"/>
      <c r="C82" s="21"/>
      <c r="D82" s="21"/>
      <c r="E82" s="21"/>
      <c r="F82" s="21"/>
      <c r="G82" s="21"/>
      <c r="H82" s="21"/>
    </row>
    <row r="83" spans="1:8" x14ac:dyDescent="0.35">
      <c r="A83" s="20" t="str">
        <f>A44</f>
        <v>Jawar</v>
      </c>
      <c r="B83" s="21"/>
      <c r="C83" s="21"/>
      <c r="D83" s="21"/>
      <c r="E83" s="21"/>
      <c r="F83" s="21"/>
      <c r="G83" s="21"/>
      <c r="H83" s="21"/>
    </row>
    <row r="84" spans="1:8" x14ac:dyDescent="0.35">
      <c r="A84" s="20"/>
      <c r="B84" s="21"/>
      <c r="C84" s="21"/>
      <c r="D84" s="21"/>
      <c r="E84" s="21"/>
      <c r="F84" s="21"/>
      <c r="G84" s="21"/>
      <c r="H84" s="21"/>
    </row>
    <row r="85" spans="1:8" x14ac:dyDescent="0.35">
      <c r="A85" s="20"/>
      <c r="B85" s="21"/>
      <c r="C85" s="21"/>
      <c r="D85" s="21"/>
      <c r="E85" s="21"/>
      <c r="F85" s="21"/>
      <c r="G85" s="21"/>
      <c r="H85" s="21"/>
    </row>
    <row r="86" spans="1:8" x14ac:dyDescent="0.35">
      <c r="A86" s="20"/>
      <c r="B86" s="21"/>
      <c r="C86" s="21"/>
      <c r="D86" s="21"/>
      <c r="E86" s="21"/>
      <c r="F86" s="21"/>
      <c r="G86" s="21"/>
      <c r="H86" s="21"/>
    </row>
    <row r="87" spans="1:8" x14ac:dyDescent="0.35">
      <c r="A87" s="20">
        <f>A45</f>
        <v>0</v>
      </c>
      <c r="B87" s="21"/>
      <c r="C87" s="21"/>
      <c r="D87" s="21"/>
      <c r="E87" s="21"/>
      <c r="F87" s="21"/>
      <c r="G87" s="21"/>
      <c r="H87" s="21"/>
    </row>
    <row r="88" spans="1:8" x14ac:dyDescent="0.35">
      <c r="A88" s="20"/>
      <c r="B88" s="21"/>
      <c r="C88" s="21"/>
      <c r="D88" s="21"/>
      <c r="E88" s="21"/>
      <c r="F88" s="21"/>
      <c r="G88" s="21"/>
      <c r="H88" s="21"/>
    </row>
    <row r="89" spans="1:8" x14ac:dyDescent="0.35">
      <c r="A89" s="20"/>
      <c r="B89" s="21"/>
      <c r="C89" s="21"/>
      <c r="D89" s="21"/>
      <c r="E89" s="21"/>
      <c r="F89" s="21"/>
      <c r="G89" s="21"/>
      <c r="H89" s="21"/>
    </row>
    <row r="90" spans="1:8" x14ac:dyDescent="0.35">
      <c r="A90" s="20"/>
      <c r="B90" s="21"/>
      <c r="C90" s="21"/>
      <c r="D90" s="21"/>
      <c r="E90" s="21"/>
      <c r="F90" s="21"/>
      <c r="G90" s="21"/>
      <c r="H90" s="21"/>
    </row>
    <row r="91" spans="1:8" x14ac:dyDescent="0.35">
      <c r="A91" s="20" t="str">
        <f>A46</f>
        <v>Wheat</v>
      </c>
      <c r="B91" s="21"/>
      <c r="C91" s="21"/>
      <c r="D91" s="21"/>
      <c r="E91" s="21"/>
      <c r="F91" s="21"/>
      <c r="G91" s="21"/>
      <c r="H91" s="21"/>
    </row>
    <row r="92" spans="1:8" x14ac:dyDescent="0.35">
      <c r="A92" s="20"/>
      <c r="B92" s="21"/>
      <c r="C92" s="21"/>
      <c r="D92" s="21"/>
      <c r="E92" s="21"/>
      <c r="F92" s="21"/>
      <c r="G92" s="21"/>
      <c r="H92" s="21"/>
    </row>
    <row r="93" spans="1:8" x14ac:dyDescent="0.35">
      <c r="A93" s="20"/>
      <c r="B93" s="21"/>
      <c r="C93" s="21"/>
      <c r="D93" s="21"/>
      <c r="E93" s="21"/>
      <c r="F93" s="21"/>
      <c r="G93" s="21"/>
      <c r="H93" s="21"/>
    </row>
    <row r="94" spans="1:8" x14ac:dyDescent="0.35">
      <c r="A94" s="20" t="str">
        <f>A47</f>
        <v>Channa</v>
      </c>
      <c r="B94" s="21"/>
      <c r="C94" s="21"/>
      <c r="D94" s="21"/>
      <c r="E94" s="21"/>
      <c r="F94" s="21"/>
      <c r="G94" s="21"/>
      <c r="H94" s="21"/>
    </row>
    <row r="95" spans="1:8" x14ac:dyDescent="0.35">
      <c r="A95" s="20" t="s">
        <v>461</v>
      </c>
      <c r="B95" s="21">
        <f t="shared" ref="B95:H95" si="20">B47*80%</f>
        <v>0</v>
      </c>
      <c r="C95" s="21">
        <f t="shared" si="20"/>
        <v>0</v>
      </c>
      <c r="D95" s="21">
        <f t="shared" si="20"/>
        <v>0</v>
      </c>
      <c r="E95" s="21">
        <f t="shared" si="20"/>
        <v>0</v>
      </c>
      <c r="F95" s="21">
        <f t="shared" si="20"/>
        <v>0</v>
      </c>
      <c r="G95" s="21">
        <f t="shared" si="20"/>
        <v>0</v>
      </c>
      <c r="H95" s="21">
        <f t="shared" si="20"/>
        <v>0</v>
      </c>
    </row>
    <row r="96" spans="1:8" x14ac:dyDescent="0.35">
      <c r="A96" s="20" t="s">
        <v>139</v>
      </c>
      <c r="B96" s="21">
        <f t="shared" ref="B96:H96" si="21">B47*20%</f>
        <v>0</v>
      </c>
      <c r="C96" s="21">
        <f t="shared" si="21"/>
        <v>0</v>
      </c>
      <c r="D96" s="21">
        <f t="shared" si="21"/>
        <v>0</v>
      </c>
      <c r="E96" s="21">
        <f t="shared" si="21"/>
        <v>0</v>
      </c>
      <c r="F96" s="21">
        <f t="shared" si="21"/>
        <v>0</v>
      </c>
      <c r="G96" s="21">
        <f t="shared" si="21"/>
        <v>0</v>
      </c>
      <c r="H96" s="21">
        <f t="shared" si="21"/>
        <v>0</v>
      </c>
    </row>
    <row r="97" spans="1:8" x14ac:dyDescent="0.35">
      <c r="A97" s="20" t="str">
        <f>A48</f>
        <v>Jawar</v>
      </c>
      <c r="B97" s="21"/>
      <c r="C97" s="21"/>
      <c r="D97" s="21"/>
      <c r="E97" s="21"/>
      <c r="F97" s="21"/>
      <c r="G97" s="21"/>
      <c r="H97" s="21"/>
    </row>
    <row r="98" spans="1:8" x14ac:dyDescent="0.35">
      <c r="A98" s="20"/>
      <c r="B98" s="21"/>
      <c r="C98" s="21"/>
      <c r="D98" s="21"/>
      <c r="E98" s="21"/>
      <c r="F98" s="21"/>
      <c r="G98" s="21"/>
      <c r="H98" s="21"/>
    </row>
    <row r="99" spans="1:8" x14ac:dyDescent="0.35">
      <c r="A99" s="20"/>
      <c r="B99" s="21"/>
      <c r="C99" s="21"/>
      <c r="D99" s="21"/>
      <c r="E99" s="21"/>
      <c r="F99" s="21"/>
      <c r="G99" s="21"/>
      <c r="H99" s="21"/>
    </row>
    <row r="100" spans="1:8" x14ac:dyDescent="0.35">
      <c r="A100" s="20" t="str">
        <f>A49</f>
        <v>Maize</v>
      </c>
      <c r="B100" s="21"/>
      <c r="C100" s="21"/>
      <c r="D100" s="21"/>
      <c r="E100" s="21"/>
      <c r="F100" s="21"/>
      <c r="G100" s="21"/>
      <c r="H100" s="21"/>
    </row>
    <row r="101" spans="1:8" x14ac:dyDescent="0.35">
      <c r="A101" s="20"/>
      <c r="B101" s="21"/>
      <c r="C101" s="21"/>
      <c r="D101" s="21"/>
      <c r="E101" s="21"/>
      <c r="F101" s="21"/>
      <c r="G101" s="21"/>
      <c r="H101" s="21"/>
    </row>
    <row r="102" spans="1:8" x14ac:dyDescent="0.35">
      <c r="A102" s="20"/>
      <c r="B102" s="21"/>
      <c r="C102" s="21"/>
      <c r="D102" s="21"/>
      <c r="E102" s="21"/>
      <c r="F102" s="21"/>
      <c r="G102" s="21"/>
      <c r="H102" s="21"/>
    </row>
    <row r="103" spans="1:8" x14ac:dyDescent="0.35">
      <c r="A103" s="20" t="str">
        <f>A50</f>
        <v>Safflower</v>
      </c>
      <c r="B103" s="21"/>
      <c r="C103" s="21"/>
      <c r="D103" s="21"/>
      <c r="E103" s="21"/>
      <c r="F103" s="21"/>
      <c r="G103" s="21"/>
      <c r="H103" s="21"/>
    </row>
    <row r="104" spans="1:8" x14ac:dyDescent="0.35">
      <c r="A104" s="20"/>
      <c r="B104" s="21"/>
      <c r="C104" s="21"/>
      <c r="D104" s="21"/>
      <c r="E104" s="21"/>
      <c r="F104" s="21"/>
      <c r="G104" s="21"/>
      <c r="H104" s="21"/>
    </row>
    <row r="105" spans="1:8" x14ac:dyDescent="0.35">
      <c r="A105" s="20"/>
      <c r="B105" s="21"/>
      <c r="C105" s="21"/>
      <c r="D105" s="21"/>
      <c r="E105" s="21"/>
      <c r="F105" s="21"/>
      <c r="G105" s="21"/>
      <c r="H105" s="21"/>
    </row>
    <row r="106" spans="1:8" x14ac:dyDescent="0.35">
      <c r="A106" s="20" t="str">
        <f>A51</f>
        <v>Groundnut</v>
      </c>
      <c r="B106" s="21"/>
      <c r="C106" s="21"/>
      <c r="D106" s="21"/>
      <c r="E106" s="21"/>
      <c r="F106" s="21"/>
      <c r="G106" s="21"/>
      <c r="H106" s="21"/>
    </row>
    <row r="107" spans="1:8" x14ac:dyDescent="0.35">
      <c r="A107" s="20"/>
      <c r="B107" s="21"/>
      <c r="C107" s="21"/>
      <c r="D107" s="21"/>
      <c r="E107" s="21"/>
      <c r="F107" s="21"/>
      <c r="G107" s="21"/>
      <c r="H107" s="21"/>
    </row>
    <row r="108" spans="1:8" x14ac:dyDescent="0.35">
      <c r="A108" s="20"/>
      <c r="B108" s="21"/>
      <c r="C108" s="21"/>
      <c r="D108" s="21"/>
      <c r="E108" s="21"/>
      <c r="F108" s="21"/>
      <c r="G108" s="21"/>
      <c r="H108" s="21"/>
    </row>
    <row r="109" spans="1:8" x14ac:dyDescent="0.35">
      <c r="A109" s="20">
        <f>A52</f>
        <v>0</v>
      </c>
      <c r="B109" s="21"/>
      <c r="C109" s="21"/>
      <c r="D109" s="21"/>
      <c r="E109" s="21"/>
      <c r="F109" s="21"/>
      <c r="G109" s="21"/>
      <c r="H109" s="21"/>
    </row>
    <row r="110" spans="1:8" x14ac:dyDescent="0.35">
      <c r="A110" s="20"/>
      <c r="B110" s="21"/>
      <c r="C110" s="21"/>
      <c r="D110" s="21"/>
      <c r="E110" s="21"/>
      <c r="F110" s="21"/>
      <c r="G110" s="21"/>
      <c r="H110" s="21"/>
    </row>
    <row r="111" spans="1:8" x14ac:dyDescent="0.35">
      <c r="A111" s="20"/>
      <c r="B111" s="21"/>
      <c r="C111" s="21"/>
      <c r="D111" s="21"/>
      <c r="E111" s="21"/>
      <c r="F111" s="21"/>
      <c r="G111" s="21"/>
      <c r="H111" s="21"/>
    </row>
    <row r="112" spans="1:8" x14ac:dyDescent="0.35">
      <c r="A112" s="20">
        <f>A53</f>
        <v>0</v>
      </c>
      <c r="B112" s="21"/>
      <c r="C112" s="21"/>
      <c r="D112" s="21"/>
      <c r="E112" s="21"/>
      <c r="F112" s="21"/>
      <c r="G112" s="21"/>
      <c r="H112" s="21"/>
    </row>
    <row r="113" spans="1:8" x14ac:dyDescent="0.35">
      <c r="A113" s="20"/>
      <c r="B113" s="21"/>
      <c r="C113" s="21"/>
      <c r="D113" s="21"/>
      <c r="E113" s="21"/>
      <c r="F113" s="21"/>
      <c r="G113" s="21"/>
      <c r="H113" s="21"/>
    </row>
    <row r="114" spans="1:8" x14ac:dyDescent="0.35">
      <c r="A114" s="20"/>
      <c r="B114" s="21"/>
      <c r="C114" s="21"/>
      <c r="D114" s="21"/>
      <c r="E114" s="21"/>
      <c r="F114" s="21"/>
      <c r="G114" s="21"/>
      <c r="H114" s="21"/>
    </row>
    <row r="115" spans="1:8" x14ac:dyDescent="0.35">
      <c r="A115" s="20" t="str">
        <f>A54</f>
        <v>Soybean</v>
      </c>
      <c r="B115" s="21"/>
      <c r="C115" s="21"/>
      <c r="D115" s="21"/>
      <c r="E115" s="21"/>
      <c r="F115" s="21"/>
      <c r="G115" s="21"/>
      <c r="H115" s="21"/>
    </row>
    <row r="116" spans="1:8" x14ac:dyDescent="0.35">
      <c r="A116" s="20"/>
      <c r="B116" s="21"/>
      <c r="C116" s="21"/>
      <c r="D116" s="21"/>
      <c r="E116" s="21"/>
      <c r="F116" s="21"/>
      <c r="G116" s="21"/>
      <c r="H116" s="21"/>
    </row>
    <row r="117" spans="1:8" x14ac:dyDescent="0.35">
      <c r="A117" s="20"/>
      <c r="B117" s="21"/>
      <c r="C117" s="21"/>
      <c r="D117" s="21"/>
      <c r="E117" s="21"/>
      <c r="F117" s="21"/>
      <c r="G117" s="21"/>
      <c r="H117" s="21"/>
    </row>
    <row r="118" spans="1:8" x14ac:dyDescent="0.35">
      <c r="A118" s="20">
        <f>A55</f>
        <v>0</v>
      </c>
      <c r="B118" s="21"/>
      <c r="C118" s="21"/>
      <c r="D118" s="21"/>
      <c r="E118" s="21"/>
      <c r="F118" s="21"/>
      <c r="G118" s="21"/>
      <c r="H118" s="21"/>
    </row>
    <row r="119" spans="1:8" x14ac:dyDescent="0.35">
      <c r="A119" s="20"/>
      <c r="B119" s="21"/>
      <c r="C119" s="21"/>
      <c r="D119" s="21"/>
      <c r="E119" s="21"/>
      <c r="F119" s="21"/>
      <c r="G119" s="21"/>
      <c r="H119" s="21"/>
    </row>
    <row r="120" spans="1:8" x14ac:dyDescent="0.35">
      <c r="A120" s="20"/>
      <c r="B120" s="21"/>
      <c r="C120" s="21"/>
      <c r="D120" s="21"/>
      <c r="E120" s="21"/>
      <c r="F120" s="21"/>
      <c r="G120" s="21"/>
      <c r="H120" s="21"/>
    </row>
    <row r="121" spans="1:8" x14ac:dyDescent="0.35">
      <c r="A121" s="20">
        <f>A56</f>
        <v>0</v>
      </c>
      <c r="B121" s="21"/>
      <c r="C121" s="21"/>
      <c r="D121" s="21"/>
      <c r="E121" s="21"/>
      <c r="F121" s="21"/>
      <c r="G121" s="21"/>
      <c r="H121" s="21"/>
    </row>
    <row r="122" spans="1:8" x14ac:dyDescent="0.35">
      <c r="A122" s="33"/>
      <c r="B122" s="73"/>
      <c r="C122" s="73"/>
      <c r="D122" s="73"/>
      <c r="E122" s="73"/>
      <c r="F122" s="73"/>
      <c r="G122" s="73"/>
      <c r="H122" s="73"/>
    </row>
    <row r="123" spans="1:8" x14ac:dyDescent="0.35">
      <c r="A123" s="33"/>
      <c r="B123" s="73"/>
      <c r="C123" s="73"/>
      <c r="D123" s="73"/>
      <c r="E123" s="73"/>
      <c r="F123" s="73"/>
      <c r="G123" s="73"/>
      <c r="H123" s="73"/>
    </row>
    <row r="124" spans="1:8" x14ac:dyDescent="0.35">
      <c r="A124" s="34" t="s">
        <v>447</v>
      </c>
      <c r="B124">
        <v>50</v>
      </c>
    </row>
    <row r="131" spans="1:10" ht="17.5" x14ac:dyDescent="0.35">
      <c r="A131" s="477" t="s">
        <v>680</v>
      </c>
      <c r="B131" s="477"/>
      <c r="C131" s="477"/>
      <c r="D131" s="477"/>
      <c r="E131" s="477"/>
      <c r="F131" s="477"/>
      <c r="G131" s="477"/>
      <c r="H131" s="477"/>
      <c r="I131" s="477"/>
      <c r="J131" s="477"/>
    </row>
    <row r="132" spans="1:10" x14ac:dyDescent="0.35">
      <c r="A132" s="12"/>
      <c r="B132" s="14"/>
      <c r="C132" s="14"/>
      <c r="D132" s="12"/>
      <c r="E132" s="12"/>
      <c r="F132" s="12"/>
      <c r="G132" s="12"/>
      <c r="H132" s="12"/>
    </row>
    <row r="133" spans="1:10" x14ac:dyDescent="0.35">
      <c r="A133" s="36"/>
      <c r="B133" s="36"/>
      <c r="C133" s="36"/>
      <c r="D133" s="37">
        <v>1</v>
      </c>
      <c r="E133" s="38">
        <f>(D133*5%)+D133</f>
        <v>1.05</v>
      </c>
      <c r="F133" s="38">
        <f t="shared" ref="F133:J133" si="22">(E133*5%)+E133</f>
        <v>1.1025</v>
      </c>
      <c r="G133" s="38">
        <f t="shared" si="22"/>
        <v>1.1576250000000001</v>
      </c>
      <c r="H133" s="38">
        <f t="shared" si="22"/>
        <v>1.2155062500000002</v>
      </c>
      <c r="I133" s="38">
        <f t="shared" si="22"/>
        <v>1.2762815625000004</v>
      </c>
      <c r="J133" s="38">
        <f t="shared" si="22"/>
        <v>1.3400956406250004</v>
      </c>
    </row>
    <row r="134" spans="1:10" x14ac:dyDescent="0.35">
      <c r="A134" s="19"/>
      <c r="B134" s="19"/>
      <c r="C134" s="19"/>
      <c r="D134" s="19"/>
      <c r="E134" s="19"/>
      <c r="F134" s="19"/>
      <c r="G134" s="19"/>
      <c r="H134" s="19"/>
      <c r="I134" s="19"/>
      <c r="J134" s="19"/>
    </row>
    <row r="135" spans="1:10" x14ac:dyDescent="0.35">
      <c r="A135" s="30" t="s">
        <v>0</v>
      </c>
      <c r="B135" s="30" t="s">
        <v>131</v>
      </c>
      <c r="C135" s="30" t="s">
        <v>149</v>
      </c>
      <c r="D135" s="29" t="s">
        <v>2</v>
      </c>
      <c r="E135" s="29" t="s">
        <v>3</v>
      </c>
      <c r="F135" s="29" t="s">
        <v>4</v>
      </c>
      <c r="G135" s="29" t="s">
        <v>5</v>
      </c>
      <c r="H135" s="29" t="s">
        <v>6</v>
      </c>
      <c r="I135" s="29" t="s">
        <v>165</v>
      </c>
      <c r="J135" s="29" t="s">
        <v>164</v>
      </c>
    </row>
    <row r="136" spans="1:10" x14ac:dyDescent="0.35">
      <c r="A136" s="20"/>
      <c r="B136" s="20"/>
      <c r="C136" s="20"/>
      <c r="D136" s="20"/>
      <c r="E136" s="20"/>
      <c r="F136" s="20"/>
      <c r="G136" s="20"/>
      <c r="H136" s="20"/>
      <c r="I136" s="20"/>
      <c r="J136" s="20"/>
    </row>
    <row r="137" spans="1:10" x14ac:dyDescent="0.35">
      <c r="A137" s="22" t="s">
        <v>126</v>
      </c>
      <c r="B137" s="22"/>
      <c r="C137" s="22"/>
      <c r="D137" s="26"/>
      <c r="E137" s="26"/>
      <c r="F137" s="26"/>
      <c r="G137" s="26"/>
      <c r="H137" s="26"/>
      <c r="I137" s="20"/>
      <c r="J137" s="20"/>
    </row>
    <row r="138" spans="1:10" x14ac:dyDescent="0.35">
      <c r="A138" s="22" t="s">
        <v>315</v>
      </c>
      <c r="B138" s="22"/>
      <c r="C138" s="22"/>
      <c r="D138" s="20"/>
      <c r="E138" s="20"/>
      <c r="F138" s="20"/>
      <c r="G138" s="20"/>
      <c r="H138" s="20"/>
      <c r="I138" s="20"/>
      <c r="J138" s="20"/>
    </row>
    <row r="139" spans="1:10" x14ac:dyDescent="0.35">
      <c r="A139" s="20" t="str">
        <f>+'12.Facility 1 - Trading'!A178</f>
        <v>Soybean</v>
      </c>
      <c r="B139" s="46" t="s">
        <v>688</v>
      </c>
      <c r="C139" s="46">
        <v>65</v>
      </c>
      <c r="D139" s="21">
        <f>(((B95*100)*(1-'5.Closing Stock &amp; W Capital'!$D$16))/$B$124)*$C$139*D133</f>
        <v>0</v>
      </c>
      <c r="E139" s="21">
        <f>E133*((((C95*100)*(1-'5.Closing Stock &amp; W Capital'!$D$16))+((B95*100)*'5.Closing Stock &amp; W Capital'!$D$16))/$B$124)*$C$139</f>
        <v>0</v>
      </c>
      <c r="F139" s="21">
        <f>F133*((((D95*100)*(1-'5.Closing Stock &amp; W Capital'!$D$16))+((C95*100)*'5.Closing Stock &amp; W Capital'!$D$16))/$B$124)*$C$139</f>
        <v>0</v>
      </c>
      <c r="G139" s="21">
        <f>G133*((((E95*100)*(1-'5.Closing Stock &amp; W Capital'!$D$16))+((D95*100)*'5.Closing Stock &amp; W Capital'!$D$16))/$B$124)*$C$139</f>
        <v>0</v>
      </c>
      <c r="H139" s="21">
        <f>H133*((((F95*100)*(1-'5.Closing Stock &amp; W Capital'!$D$16))+((E95*100)*'5.Closing Stock &amp; W Capital'!$D$16))/$B$124)*$C$139</f>
        <v>0</v>
      </c>
      <c r="I139" s="21">
        <f>I133*((((G95*100)*(1-'5.Closing Stock &amp; W Capital'!$D$16))+((F95*100)*'5.Closing Stock &amp; W Capital'!$D$16))/$B$124)*$C$139</f>
        <v>0</v>
      </c>
      <c r="J139" s="21">
        <f>J133*((((H95*100)*(1-'5.Closing Stock &amp; W Capital'!$D$16))+((G95*100)*'5.Closing Stock &amp; W Capital'!$D$16))/$B$124)*$C$139</f>
        <v>0</v>
      </c>
    </row>
    <row r="140" spans="1:10" x14ac:dyDescent="0.35">
      <c r="A140" s="20" t="str">
        <f>+'12.Facility 1 - Trading'!A179</f>
        <v>Tur</v>
      </c>
      <c r="B140" s="46" t="s">
        <v>688</v>
      </c>
      <c r="C140" s="46">
        <v>65</v>
      </c>
      <c r="D140" s="21">
        <f>(((B63*100)*(1-'5.Closing Stock &amp; W Capital'!$D$16))/B124)*$C$140*D133</f>
        <v>0</v>
      </c>
      <c r="E140" s="21">
        <f>((((C63*100)*(1-'5.Closing Stock &amp; W Capital'!$D$16))+((B63*100)*'5.Closing Stock &amp; W Capital'!$D$16))/$B$124)*$C$140*E133</f>
        <v>0</v>
      </c>
      <c r="F140" s="21">
        <f>((((D63*100)*(1-'5.Closing Stock &amp; W Capital'!$D$16))+((C63*100)*'5.Closing Stock &amp; W Capital'!$D$16))/$B$124)*$C$140*F133</f>
        <v>0</v>
      </c>
      <c r="G140" s="21">
        <f>((((E63*100)*(1-'5.Closing Stock &amp; W Capital'!$D$16))+((D63*100)*'5.Closing Stock &amp; W Capital'!$D$16))/$B$124)*$C$140*G133</f>
        <v>0</v>
      </c>
      <c r="H140" s="21">
        <f>((((F63*100)*(1-'5.Closing Stock &amp; W Capital'!$D$16))+((E63*100)*'5.Closing Stock &amp; W Capital'!$D$16))/$B$124)*$C$140*H133</f>
        <v>0</v>
      </c>
      <c r="I140" s="21">
        <f>((((G63*100)*(1-'5.Closing Stock &amp; W Capital'!$D$16))+((F63*100)*'5.Closing Stock &amp; W Capital'!$D$16))/$B$124)*$C$140*I133</f>
        <v>0</v>
      </c>
      <c r="J140" s="21">
        <f>((((H63*100)*(1-'5.Closing Stock &amp; W Capital'!$D$16))+((G63*100)*'5.Closing Stock &amp; W Capital'!$D$16))/$B$124)*$C$140*J133</f>
        <v>0</v>
      </c>
    </row>
    <row r="141" spans="1:10" x14ac:dyDescent="0.35">
      <c r="A141" s="20" t="str">
        <f>+'12.Facility 1 - Trading'!A180</f>
        <v>Turmeric</v>
      </c>
      <c r="B141" s="46" t="s">
        <v>688</v>
      </c>
      <c r="C141" s="46">
        <v>100</v>
      </c>
      <c r="D141" s="21">
        <f>(((B78*100)*(1-'5.Closing Stock &amp; W Capital'!D16))/$B$124)*$C$141*D133</f>
        <v>0</v>
      </c>
      <c r="E141" s="21">
        <f>((((C78*100)*(1-'5.Closing Stock &amp; W Capital'!$D$16))+((B78*100)*'5.Closing Stock &amp; W Capital'!$D$16))/$B$124)*$C$141*E133</f>
        <v>0</v>
      </c>
      <c r="F141" s="21">
        <f>((((D78*100)*(1-'5.Closing Stock &amp; W Capital'!$D$16))+((C78*100)*'5.Closing Stock &amp; W Capital'!$D$16))/$B$124)*$C$141*F133</f>
        <v>0</v>
      </c>
      <c r="G141" s="21">
        <f>((((E78*100)*(1-'5.Closing Stock &amp; W Capital'!$D$16))+((D78*100)*'5.Closing Stock &amp; W Capital'!$D$16))/$B$124)*$C$141*G133</f>
        <v>0</v>
      </c>
      <c r="H141" s="21">
        <f>((((F78*100)*(1-'5.Closing Stock &amp; W Capital'!$D$16))+((E78*100)*'5.Closing Stock &amp; W Capital'!$D$16))/$B$124)*$C$141*H133</f>
        <v>0</v>
      </c>
      <c r="I141" s="21">
        <f>((((G78*100)*(1-'5.Closing Stock &amp; W Capital'!$D$16))+((F78*100)*'5.Closing Stock &amp; W Capital'!$D$16))/$B$124)*$C$141*I133</f>
        <v>0</v>
      </c>
      <c r="J141" s="21">
        <f>((((H78*100)*(1-'5.Closing Stock &amp; W Capital'!$D$16))+((G78*100)*'5.Closing Stock &amp; W Capital'!$D$16))/$B$124)*$C$141*J133</f>
        <v>0</v>
      </c>
    </row>
    <row r="142" spans="1:10" x14ac:dyDescent="0.35">
      <c r="A142" s="20" t="str">
        <f>+'12.Facility 1 - Trading'!A181</f>
        <v>Moong</v>
      </c>
      <c r="B142" s="46" t="s">
        <v>688</v>
      </c>
      <c r="C142" s="46">
        <v>65</v>
      </c>
      <c r="D142" s="21">
        <f>(((B70*100)*(1-'5.Closing Stock &amp; W Capital'!D16))/B124)*$C$142*D133</f>
        <v>0</v>
      </c>
      <c r="E142" s="21">
        <f>((((C70*100)*(1-'5.Closing Stock &amp; W Capital'!$D$16))+((B70*100)*'5.Closing Stock &amp; W Capital'!$D$16))/$B$124)*$C$142*E133</f>
        <v>0</v>
      </c>
      <c r="F142" s="21">
        <f>((((D70*100)*(1-'5.Closing Stock &amp; W Capital'!$D$16))+((C70*100)*'5.Closing Stock &amp; W Capital'!$D$16))/$B$124)*$C$142*F133</f>
        <v>0</v>
      </c>
      <c r="G142" s="21">
        <f>((((E70*100)*(1-'5.Closing Stock &amp; W Capital'!$D$16))+((D70*100)*'5.Closing Stock &amp; W Capital'!$D$16))/$B$124)*$C$142*G133</f>
        <v>0</v>
      </c>
      <c r="H142" s="21">
        <f>((((F70*100)*(1-'5.Closing Stock &amp; W Capital'!$D$16))+((E70*100)*'5.Closing Stock &amp; W Capital'!$D$16))/$B$124)*$C$142*H133</f>
        <v>0</v>
      </c>
      <c r="I142" s="21">
        <f>((((G70*100)*(1-'5.Closing Stock &amp; W Capital'!$D$16))+((F70*100)*'5.Closing Stock &amp; W Capital'!$D$16))/$B$124)*$C$142*I133</f>
        <v>0</v>
      </c>
      <c r="J142" s="21">
        <f>((((H70*100)*(1-'5.Closing Stock &amp; W Capital'!$D$16))+((G70*100)*'5.Closing Stock &amp; W Capital'!$D$16))/$B$124)*$C$142*J133</f>
        <v>0</v>
      </c>
    </row>
    <row r="143" spans="1:10" x14ac:dyDescent="0.35">
      <c r="A143" s="20"/>
      <c r="B143" s="46"/>
      <c r="C143" s="46"/>
      <c r="D143" s="21"/>
      <c r="E143" s="21"/>
      <c r="F143" s="21"/>
      <c r="G143" s="21"/>
      <c r="H143" s="21"/>
      <c r="I143" s="21"/>
      <c r="J143" s="21"/>
    </row>
    <row r="144" spans="1:10" x14ac:dyDescent="0.35">
      <c r="A144" s="20"/>
      <c r="B144" s="46"/>
      <c r="C144" s="46"/>
      <c r="D144" s="21"/>
      <c r="E144" s="21"/>
      <c r="F144" s="21"/>
      <c r="G144" s="21"/>
      <c r="H144" s="21"/>
      <c r="I144" s="21"/>
      <c r="J144" s="21"/>
    </row>
    <row r="145" spans="1:11" x14ac:dyDescent="0.35">
      <c r="A145" s="20"/>
      <c r="B145" s="46"/>
      <c r="C145" s="46"/>
      <c r="D145" s="21"/>
      <c r="E145" s="21"/>
      <c r="F145" s="21"/>
      <c r="G145" s="21"/>
      <c r="H145" s="21"/>
      <c r="I145" s="21"/>
      <c r="J145" s="21"/>
    </row>
    <row r="146" spans="1:11" x14ac:dyDescent="0.35">
      <c r="A146" s="20"/>
      <c r="B146" s="20"/>
      <c r="C146" s="20"/>
      <c r="D146" s="21"/>
      <c r="E146" s="21"/>
      <c r="F146" s="21"/>
      <c r="G146" s="21"/>
      <c r="H146" s="21"/>
      <c r="I146" s="21"/>
      <c r="J146" s="21"/>
    </row>
    <row r="147" spans="1:11" x14ac:dyDescent="0.35">
      <c r="A147" s="22" t="s">
        <v>139</v>
      </c>
      <c r="B147" s="47" t="s">
        <v>354</v>
      </c>
      <c r="C147" s="47">
        <v>10</v>
      </c>
      <c r="D147" s="21">
        <f t="shared" ref="D147:J147" si="23">((B63+B95+B78+B70)*100)*$C$147*D133</f>
        <v>0</v>
      </c>
      <c r="E147" s="21">
        <f t="shared" si="23"/>
        <v>0</v>
      </c>
      <c r="F147" s="21">
        <f t="shared" si="23"/>
        <v>0</v>
      </c>
      <c r="G147" s="21">
        <f t="shared" si="23"/>
        <v>0</v>
      </c>
      <c r="H147" s="21">
        <f t="shared" si="23"/>
        <v>0</v>
      </c>
      <c r="I147" s="21">
        <f t="shared" si="23"/>
        <v>0</v>
      </c>
      <c r="J147" s="21">
        <f t="shared" si="23"/>
        <v>0</v>
      </c>
    </row>
    <row r="148" spans="1:11" x14ac:dyDescent="0.35">
      <c r="A148" s="20"/>
      <c r="B148" s="46"/>
      <c r="C148" s="46"/>
      <c r="D148" s="21"/>
      <c r="E148" s="21"/>
      <c r="F148" s="21"/>
      <c r="G148" s="21"/>
      <c r="H148" s="21"/>
      <c r="I148" s="21"/>
      <c r="J148" s="21"/>
      <c r="K148" s="15">
        <f>[2]Output!T58*70*K133</f>
        <v>0</v>
      </c>
    </row>
    <row r="149" spans="1:11" x14ac:dyDescent="0.35">
      <c r="A149" s="22" t="s">
        <v>292</v>
      </c>
      <c r="B149" s="47" t="s">
        <v>354</v>
      </c>
      <c r="C149" s="46">
        <v>5</v>
      </c>
      <c r="D149" s="21">
        <f t="shared" ref="D149:J149" si="24">(B35*100)*$C$149*D133</f>
        <v>0</v>
      </c>
      <c r="E149" s="21">
        <f t="shared" si="24"/>
        <v>0</v>
      </c>
      <c r="F149" s="21">
        <f t="shared" si="24"/>
        <v>0</v>
      </c>
      <c r="G149" s="21">
        <f t="shared" si="24"/>
        <v>0</v>
      </c>
      <c r="H149" s="21">
        <f t="shared" si="24"/>
        <v>0</v>
      </c>
      <c r="I149" s="21">
        <f t="shared" si="24"/>
        <v>0</v>
      </c>
      <c r="J149" s="21">
        <f t="shared" si="24"/>
        <v>0</v>
      </c>
    </row>
    <row r="150" spans="1:11" x14ac:dyDescent="0.35">
      <c r="A150" s="20"/>
      <c r="B150" s="20"/>
      <c r="C150" s="20"/>
      <c r="D150" s="21"/>
      <c r="E150" s="21"/>
      <c r="F150" s="21"/>
      <c r="G150" s="21"/>
      <c r="H150" s="21"/>
      <c r="I150" s="21"/>
      <c r="J150" s="21"/>
    </row>
    <row r="151" spans="1:11" x14ac:dyDescent="0.35">
      <c r="A151" s="22" t="s">
        <v>126</v>
      </c>
      <c r="B151" s="22"/>
      <c r="C151" s="22"/>
      <c r="D151" s="27">
        <f>SUM(D139:D149)</f>
        <v>0</v>
      </c>
      <c r="E151" s="27">
        <f t="shared" ref="E151:J151" si="25">SUM(E139:E149)</f>
        <v>0</v>
      </c>
      <c r="F151" s="27">
        <f t="shared" si="25"/>
        <v>0</v>
      </c>
      <c r="G151" s="27">
        <f t="shared" si="25"/>
        <v>0</v>
      </c>
      <c r="H151" s="27">
        <f t="shared" si="25"/>
        <v>0</v>
      </c>
      <c r="I151" s="27">
        <f t="shared" si="25"/>
        <v>0</v>
      </c>
      <c r="J151" s="27">
        <f t="shared" si="25"/>
        <v>0</v>
      </c>
    </row>
    <row r="152" spans="1:11" x14ac:dyDescent="0.35">
      <c r="A152" s="20"/>
      <c r="B152" s="20"/>
      <c r="C152" s="20"/>
      <c r="D152" s="21"/>
      <c r="E152" s="21"/>
      <c r="F152" s="21"/>
      <c r="G152" s="21"/>
      <c r="H152" s="21"/>
      <c r="I152" s="21"/>
      <c r="J152" s="21"/>
    </row>
    <row r="153" spans="1:11" x14ac:dyDescent="0.35">
      <c r="A153" s="22" t="s">
        <v>140</v>
      </c>
      <c r="B153" s="22"/>
      <c r="C153" s="22"/>
      <c r="D153" s="21"/>
      <c r="E153" s="21"/>
      <c r="F153" s="21"/>
      <c r="G153" s="21"/>
      <c r="H153" s="21"/>
      <c r="I153" s="21"/>
      <c r="J153" s="21"/>
    </row>
    <row r="154" spans="1:11" x14ac:dyDescent="0.35">
      <c r="A154" s="22" t="s">
        <v>310</v>
      </c>
      <c r="B154" s="22"/>
      <c r="C154" s="20"/>
      <c r="D154" s="21"/>
      <c r="E154" s="21"/>
      <c r="F154" s="21"/>
      <c r="G154" s="21"/>
      <c r="H154" s="21"/>
      <c r="I154" s="21"/>
      <c r="J154" s="21"/>
    </row>
    <row r="155" spans="1:11" x14ac:dyDescent="0.35">
      <c r="A155" s="23" t="str">
        <f>+A139</f>
        <v>Soybean</v>
      </c>
      <c r="B155" s="46" t="s">
        <v>688</v>
      </c>
      <c r="C155" s="49">
        <v>20</v>
      </c>
      <c r="D155" s="21">
        <f t="shared" ref="D155:J155" si="26">(B47)*$C$155*D133</f>
        <v>0</v>
      </c>
      <c r="E155" s="21">
        <f t="shared" si="26"/>
        <v>0</v>
      </c>
      <c r="F155" s="21">
        <f t="shared" si="26"/>
        <v>0</v>
      </c>
      <c r="G155" s="21">
        <f t="shared" si="26"/>
        <v>0</v>
      </c>
      <c r="H155" s="21">
        <f t="shared" si="26"/>
        <v>0</v>
      </c>
      <c r="I155" s="21">
        <f t="shared" si="26"/>
        <v>0</v>
      </c>
      <c r="J155" s="21">
        <f t="shared" si="26"/>
        <v>0</v>
      </c>
    </row>
    <row r="156" spans="1:11" x14ac:dyDescent="0.35">
      <c r="A156" s="20" t="str">
        <f>+A140</f>
        <v>Tur</v>
      </c>
      <c r="B156" s="46" t="s">
        <v>688</v>
      </c>
      <c r="C156" s="49">
        <v>20</v>
      </c>
      <c r="D156" s="21">
        <f t="shared" ref="D156:J156" si="27">(B38)*$C$156*D133</f>
        <v>0</v>
      </c>
      <c r="E156" s="21">
        <f t="shared" si="27"/>
        <v>0</v>
      </c>
      <c r="F156" s="21">
        <f t="shared" si="27"/>
        <v>0</v>
      </c>
      <c r="G156" s="21">
        <f t="shared" si="27"/>
        <v>0</v>
      </c>
      <c r="H156" s="21">
        <f t="shared" si="27"/>
        <v>0</v>
      </c>
      <c r="I156" s="21">
        <f t="shared" si="27"/>
        <v>0</v>
      </c>
      <c r="J156" s="21">
        <f t="shared" si="27"/>
        <v>0</v>
      </c>
    </row>
    <row r="157" spans="1:11" x14ac:dyDescent="0.35">
      <c r="A157" s="20" t="str">
        <f>+A141</f>
        <v>Turmeric</v>
      </c>
      <c r="B157" s="46" t="s">
        <v>688</v>
      </c>
      <c r="C157" s="49">
        <v>35</v>
      </c>
      <c r="D157" s="21">
        <f t="shared" ref="D157:J157" si="28">(B42)*$C$157*D133</f>
        <v>0</v>
      </c>
      <c r="E157" s="21">
        <f t="shared" si="28"/>
        <v>0</v>
      </c>
      <c r="F157" s="21">
        <f t="shared" si="28"/>
        <v>0</v>
      </c>
      <c r="G157" s="21">
        <f t="shared" si="28"/>
        <v>0</v>
      </c>
      <c r="H157" s="21">
        <f t="shared" si="28"/>
        <v>0</v>
      </c>
      <c r="I157" s="21">
        <f t="shared" si="28"/>
        <v>0</v>
      </c>
      <c r="J157" s="21">
        <f t="shared" si="28"/>
        <v>0</v>
      </c>
    </row>
    <row r="158" spans="1:11" x14ac:dyDescent="0.35">
      <c r="A158" s="20" t="str">
        <f>+A142</f>
        <v>Moong</v>
      </c>
      <c r="B158" s="46" t="s">
        <v>688</v>
      </c>
      <c r="C158" s="49">
        <v>30</v>
      </c>
      <c r="D158" s="21">
        <f t="shared" ref="D158:J158" si="29">(B40)*$C$158*D133</f>
        <v>0</v>
      </c>
      <c r="E158" s="21">
        <f t="shared" si="29"/>
        <v>0</v>
      </c>
      <c r="F158" s="21">
        <f t="shared" si="29"/>
        <v>0</v>
      </c>
      <c r="G158" s="21">
        <f t="shared" si="29"/>
        <v>0</v>
      </c>
      <c r="H158" s="21">
        <f t="shared" si="29"/>
        <v>0</v>
      </c>
      <c r="I158" s="21">
        <f t="shared" si="29"/>
        <v>0</v>
      </c>
      <c r="J158" s="21">
        <f t="shared" si="29"/>
        <v>0</v>
      </c>
    </row>
    <row r="159" spans="1:11" x14ac:dyDescent="0.35">
      <c r="A159" s="20"/>
      <c r="B159" s="46">
        <v>0</v>
      </c>
      <c r="C159" s="46">
        <v>0</v>
      </c>
      <c r="D159" s="21">
        <f t="shared" ref="D159:J159" si="30">(B32/10)*$B$159*$C$159*D133</f>
        <v>0</v>
      </c>
      <c r="E159" s="21">
        <f t="shared" si="30"/>
        <v>0</v>
      </c>
      <c r="F159" s="21">
        <f t="shared" si="30"/>
        <v>0</v>
      </c>
      <c r="G159" s="21">
        <f t="shared" si="30"/>
        <v>0</v>
      </c>
      <c r="H159" s="21">
        <f t="shared" si="30"/>
        <v>0</v>
      </c>
      <c r="I159" s="21">
        <f t="shared" si="30"/>
        <v>0</v>
      </c>
      <c r="J159" s="21">
        <f t="shared" si="30"/>
        <v>0</v>
      </c>
    </row>
    <row r="160" spans="1:11" x14ac:dyDescent="0.35">
      <c r="A160" s="20" t="s">
        <v>316</v>
      </c>
      <c r="B160" s="46">
        <v>5</v>
      </c>
      <c r="C160" s="46">
        <v>3500</v>
      </c>
      <c r="D160" s="21">
        <f t="shared" ref="D160:J160" si="31">B12*$B$160*$C$160*D133</f>
        <v>0</v>
      </c>
      <c r="E160" s="21">
        <f t="shared" si="31"/>
        <v>0</v>
      </c>
      <c r="F160" s="21">
        <f t="shared" si="31"/>
        <v>0</v>
      </c>
      <c r="G160" s="21">
        <f t="shared" si="31"/>
        <v>0</v>
      </c>
      <c r="H160" s="21">
        <f t="shared" si="31"/>
        <v>0</v>
      </c>
      <c r="I160" s="21">
        <f t="shared" si="31"/>
        <v>0</v>
      </c>
      <c r="J160" s="21">
        <f t="shared" si="31"/>
        <v>0</v>
      </c>
    </row>
    <row r="161" spans="1:10" x14ac:dyDescent="0.35">
      <c r="A161" s="20" t="s">
        <v>142</v>
      </c>
      <c r="B161" s="20">
        <f>'2.Capex Details'!H47*0.746*8</f>
        <v>0</v>
      </c>
      <c r="C161" s="46">
        <v>8</v>
      </c>
      <c r="D161" s="21">
        <f t="shared" ref="D161:J161" si="32">$B$161*$C$161*B12*D133</f>
        <v>0</v>
      </c>
      <c r="E161" s="21">
        <f t="shared" si="32"/>
        <v>0</v>
      </c>
      <c r="F161" s="21">
        <f t="shared" si="32"/>
        <v>0</v>
      </c>
      <c r="G161" s="21">
        <f t="shared" si="32"/>
        <v>0</v>
      </c>
      <c r="H161" s="21">
        <f t="shared" si="32"/>
        <v>0</v>
      </c>
      <c r="I161" s="21">
        <f t="shared" si="32"/>
        <v>0</v>
      </c>
      <c r="J161" s="21">
        <f t="shared" si="32"/>
        <v>0</v>
      </c>
    </row>
    <row r="162" spans="1:10" x14ac:dyDescent="0.35">
      <c r="A162" s="20" t="s">
        <v>293</v>
      </c>
      <c r="B162" s="20">
        <v>5</v>
      </c>
      <c r="C162" s="46">
        <v>10</v>
      </c>
      <c r="D162" s="21">
        <f t="shared" ref="D162:J162" si="33">((B35*100)/50)*$C$162*D133</f>
        <v>0</v>
      </c>
      <c r="E162" s="21">
        <f t="shared" si="33"/>
        <v>0</v>
      </c>
      <c r="F162" s="21">
        <f t="shared" si="33"/>
        <v>0</v>
      </c>
      <c r="G162" s="21">
        <f t="shared" si="33"/>
        <v>0</v>
      </c>
      <c r="H162" s="21">
        <f t="shared" si="33"/>
        <v>0</v>
      </c>
      <c r="I162" s="21">
        <f t="shared" si="33"/>
        <v>0</v>
      </c>
      <c r="J162" s="21">
        <f t="shared" si="33"/>
        <v>0</v>
      </c>
    </row>
    <row r="163" spans="1:10" x14ac:dyDescent="0.35">
      <c r="A163" s="25" t="s">
        <v>294</v>
      </c>
      <c r="B163" s="25">
        <v>5</v>
      </c>
      <c r="C163" s="50">
        <v>20</v>
      </c>
      <c r="D163" s="21">
        <f t="shared" ref="D163:J163" si="34">(((B78+B69+B95+B63)*100)/50)*$C$163*D133</f>
        <v>0</v>
      </c>
      <c r="E163" s="21">
        <f t="shared" si="34"/>
        <v>0</v>
      </c>
      <c r="F163" s="21">
        <f t="shared" si="34"/>
        <v>0</v>
      </c>
      <c r="G163" s="21">
        <f t="shared" si="34"/>
        <v>0</v>
      </c>
      <c r="H163" s="21">
        <f t="shared" si="34"/>
        <v>0</v>
      </c>
      <c r="I163" s="21">
        <f t="shared" si="34"/>
        <v>0</v>
      </c>
      <c r="J163" s="21">
        <f t="shared" si="34"/>
        <v>0</v>
      </c>
    </row>
    <row r="164" spans="1:10" x14ac:dyDescent="0.35">
      <c r="A164" s="20" t="s">
        <v>295</v>
      </c>
      <c r="B164" s="20">
        <v>5</v>
      </c>
      <c r="C164" s="46">
        <v>20</v>
      </c>
      <c r="D164" s="21">
        <f t="shared" ref="D164:J164" si="35">(((B78+B69+B95+B63)*100)/50)*$C$164*D133</f>
        <v>0</v>
      </c>
      <c r="E164" s="21">
        <f t="shared" si="35"/>
        <v>0</v>
      </c>
      <c r="F164" s="21">
        <f t="shared" si="35"/>
        <v>0</v>
      </c>
      <c r="G164" s="21">
        <f t="shared" si="35"/>
        <v>0</v>
      </c>
      <c r="H164" s="21">
        <f t="shared" si="35"/>
        <v>0</v>
      </c>
      <c r="I164" s="21">
        <f t="shared" si="35"/>
        <v>0</v>
      </c>
      <c r="J164" s="21">
        <f t="shared" si="35"/>
        <v>0</v>
      </c>
    </row>
    <row r="165" spans="1:10" x14ac:dyDescent="0.35">
      <c r="A165" s="5"/>
      <c r="B165" s="5"/>
      <c r="C165" s="5"/>
      <c r="D165" s="5"/>
      <c r="E165" s="5"/>
      <c r="F165" s="5"/>
      <c r="G165" s="5"/>
      <c r="H165" s="5"/>
      <c r="I165" s="5"/>
      <c r="J165" s="5"/>
    </row>
    <row r="166" spans="1:10" x14ac:dyDescent="0.35">
      <c r="A166" s="5"/>
      <c r="B166" s="5"/>
      <c r="C166" s="5"/>
      <c r="D166" s="5"/>
      <c r="E166" s="5"/>
      <c r="F166" s="5"/>
      <c r="G166" s="5"/>
      <c r="H166" s="5"/>
      <c r="I166" s="5"/>
      <c r="J166" s="5"/>
    </row>
    <row r="167" spans="1:10" x14ac:dyDescent="0.35">
      <c r="A167" s="5"/>
      <c r="B167" s="5"/>
      <c r="C167" s="5"/>
      <c r="D167" s="5"/>
      <c r="E167" s="5"/>
      <c r="F167" s="5"/>
      <c r="G167" s="5"/>
      <c r="H167" s="5"/>
      <c r="I167" s="5"/>
      <c r="J167" s="5"/>
    </row>
    <row r="168" spans="1:10" x14ac:dyDescent="0.35">
      <c r="A168" s="5"/>
      <c r="B168" s="5"/>
      <c r="C168" s="5"/>
      <c r="D168" s="5"/>
      <c r="E168" s="5"/>
      <c r="F168" s="5"/>
      <c r="G168" s="5"/>
      <c r="H168" s="5"/>
      <c r="I168" s="5"/>
      <c r="J168" s="5"/>
    </row>
    <row r="169" spans="1:10" x14ac:dyDescent="0.35">
      <c r="A169" s="39" t="s">
        <v>338</v>
      </c>
      <c r="B169" s="21"/>
      <c r="C169" s="21"/>
      <c r="D169" s="21"/>
      <c r="E169" s="21">
        <f>'5.Closing Stock &amp; W Capital'!F7</f>
        <v>0</v>
      </c>
      <c r="F169" s="21">
        <f>'5.Closing Stock &amp; W Capital'!G7</f>
        <v>0</v>
      </c>
      <c r="G169" s="21">
        <f>'5.Closing Stock &amp; W Capital'!H7</f>
        <v>0</v>
      </c>
      <c r="H169" s="21">
        <f>'5.Closing Stock &amp; W Capital'!I7</f>
        <v>0</v>
      </c>
      <c r="I169" s="21">
        <f>'5.Closing Stock &amp; W Capital'!J7</f>
        <v>0</v>
      </c>
      <c r="J169" s="21">
        <f>'5.Closing Stock &amp; W Capital'!K7</f>
        <v>0</v>
      </c>
    </row>
    <row r="170" spans="1:10" x14ac:dyDescent="0.35">
      <c r="A170" s="39" t="s">
        <v>339</v>
      </c>
      <c r="B170" s="21"/>
      <c r="C170" s="21"/>
      <c r="D170" s="21">
        <f>'5.Closing Stock &amp; W Capital'!E16</f>
        <v>0</v>
      </c>
      <c r="E170" s="21">
        <f>'5.Closing Stock &amp; W Capital'!F16</f>
        <v>0</v>
      </c>
      <c r="F170" s="21">
        <f>'5.Closing Stock &amp; W Capital'!G16</f>
        <v>0</v>
      </c>
      <c r="G170" s="21">
        <f>'5.Closing Stock &amp; W Capital'!H16</f>
        <v>0</v>
      </c>
      <c r="H170" s="21">
        <f>'5.Closing Stock &amp; W Capital'!I16</f>
        <v>0</v>
      </c>
      <c r="I170" s="21">
        <f>'5.Closing Stock &amp; W Capital'!J16</f>
        <v>0</v>
      </c>
      <c r="J170" s="21">
        <f>'5.Closing Stock &amp; W Capital'!K16</f>
        <v>0</v>
      </c>
    </row>
    <row r="171" spans="1:10" x14ac:dyDescent="0.35">
      <c r="A171" s="21"/>
      <c r="B171" s="21"/>
      <c r="C171" s="21"/>
      <c r="D171" s="21"/>
      <c r="E171" s="21"/>
      <c r="F171" s="21"/>
      <c r="G171" s="21"/>
      <c r="H171" s="21"/>
      <c r="I171" s="21"/>
      <c r="J171" s="21"/>
    </row>
    <row r="172" spans="1:10" x14ac:dyDescent="0.35">
      <c r="A172" s="27" t="s">
        <v>317</v>
      </c>
      <c r="B172" s="21"/>
      <c r="C172" s="21"/>
      <c r="D172" s="27">
        <f>SUM(D155:D169)-D170</f>
        <v>0</v>
      </c>
      <c r="E172" s="27">
        <f>SUM(E155:E169)-E170</f>
        <v>0</v>
      </c>
      <c r="F172" s="27">
        <f t="shared" ref="F172:J172" si="36">SUM(F155:F169)-F170</f>
        <v>0</v>
      </c>
      <c r="G172" s="27">
        <f t="shared" si="36"/>
        <v>0</v>
      </c>
      <c r="H172" s="27">
        <f t="shared" si="36"/>
        <v>0</v>
      </c>
      <c r="I172" s="27">
        <f t="shared" si="36"/>
        <v>0</v>
      </c>
      <c r="J172" s="27">
        <f t="shared" si="36"/>
        <v>0</v>
      </c>
    </row>
    <row r="173" spans="1:10" x14ac:dyDescent="0.35">
      <c r="A173" s="19"/>
      <c r="B173" s="19"/>
      <c r="C173" s="19"/>
      <c r="D173" s="19"/>
      <c r="E173" s="19"/>
      <c r="F173" s="19"/>
      <c r="G173" s="19"/>
      <c r="H173" s="19"/>
      <c r="I173" s="19"/>
      <c r="J173" s="19"/>
    </row>
    <row r="174" spans="1:10" x14ac:dyDescent="0.35">
      <c r="A174" s="40" t="s">
        <v>308</v>
      </c>
      <c r="B174" s="40"/>
      <c r="C174" s="40"/>
      <c r="D174" s="27"/>
      <c r="E174" s="27"/>
      <c r="F174" s="27"/>
      <c r="G174" s="27"/>
      <c r="H174" s="27"/>
      <c r="I174" s="27"/>
      <c r="J174" s="27"/>
    </row>
    <row r="175" spans="1:10" x14ac:dyDescent="0.35">
      <c r="A175" s="20" t="s">
        <v>184</v>
      </c>
      <c r="B175" s="46">
        <v>0</v>
      </c>
      <c r="C175" s="49">
        <v>10000</v>
      </c>
      <c r="D175" s="21">
        <f t="shared" ref="D175:J175" si="37">$B$175*$C$175*12*D133</f>
        <v>0</v>
      </c>
      <c r="E175" s="21">
        <f t="shared" si="37"/>
        <v>0</v>
      </c>
      <c r="F175" s="21">
        <f t="shared" si="37"/>
        <v>0</v>
      </c>
      <c r="G175" s="21">
        <f t="shared" si="37"/>
        <v>0</v>
      </c>
      <c r="H175" s="21">
        <f t="shared" si="37"/>
        <v>0</v>
      </c>
      <c r="I175" s="21">
        <f t="shared" si="37"/>
        <v>0</v>
      </c>
      <c r="J175" s="21">
        <f t="shared" si="37"/>
        <v>0</v>
      </c>
    </row>
    <row r="176" spans="1:10" x14ac:dyDescent="0.35">
      <c r="A176" s="20"/>
      <c r="B176" s="46"/>
      <c r="C176" s="49"/>
      <c r="D176" s="21"/>
      <c r="E176" s="21"/>
      <c r="F176" s="21"/>
      <c r="G176" s="21"/>
      <c r="H176" s="21"/>
      <c r="I176" s="21"/>
      <c r="J176" s="21"/>
    </row>
    <row r="177" spans="1:10" x14ac:dyDescent="0.35">
      <c r="A177" s="20"/>
      <c r="B177" s="46"/>
      <c r="C177" s="49"/>
      <c r="D177" s="21"/>
      <c r="E177" s="21"/>
      <c r="F177" s="21"/>
      <c r="G177" s="21"/>
      <c r="H177" s="21"/>
      <c r="I177" s="21"/>
      <c r="J177" s="21"/>
    </row>
    <row r="178" spans="1:10" x14ac:dyDescent="0.35">
      <c r="A178" s="20"/>
      <c r="B178" s="46"/>
      <c r="C178" s="49"/>
      <c r="D178" s="21"/>
      <c r="E178" s="21"/>
      <c r="F178" s="21"/>
      <c r="G178" s="21"/>
      <c r="H178" s="21"/>
      <c r="I178" s="21"/>
      <c r="J178" s="21"/>
    </row>
    <row r="179" spans="1:10" x14ac:dyDescent="0.35">
      <c r="A179" s="20"/>
      <c r="B179" s="46"/>
      <c r="C179" s="49"/>
      <c r="D179" s="21"/>
      <c r="E179" s="21"/>
      <c r="F179" s="21"/>
      <c r="G179" s="21"/>
      <c r="H179" s="21"/>
      <c r="I179" s="21"/>
      <c r="J179" s="21"/>
    </row>
    <row r="180" spans="1:10" x14ac:dyDescent="0.35">
      <c r="A180" s="22" t="s">
        <v>308</v>
      </c>
      <c r="B180" s="22"/>
      <c r="C180" s="22"/>
      <c r="D180" s="27">
        <f t="shared" ref="D180:J180" si="38">SUM(D175:D179)</f>
        <v>0</v>
      </c>
      <c r="E180" s="27">
        <f t="shared" si="38"/>
        <v>0</v>
      </c>
      <c r="F180" s="27">
        <f t="shared" si="38"/>
        <v>0</v>
      </c>
      <c r="G180" s="27">
        <f t="shared" si="38"/>
        <v>0</v>
      </c>
      <c r="H180" s="27">
        <f t="shared" si="38"/>
        <v>0</v>
      </c>
      <c r="I180" s="27">
        <f t="shared" si="38"/>
        <v>0</v>
      </c>
      <c r="J180" s="27">
        <f t="shared" si="38"/>
        <v>0</v>
      </c>
    </row>
    <row r="181" spans="1:10" x14ac:dyDescent="0.35">
      <c r="A181" s="40" t="s">
        <v>296</v>
      </c>
      <c r="B181" s="40"/>
      <c r="C181" s="40"/>
      <c r="D181" s="27">
        <f t="shared" ref="D181:J181" si="39">D172+D180</f>
        <v>0</v>
      </c>
      <c r="E181" s="27">
        <f t="shared" si="39"/>
        <v>0</v>
      </c>
      <c r="F181" s="27">
        <f t="shared" si="39"/>
        <v>0</v>
      </c>
      <c r="G181" s="27">
        <f t="shared" si="39"/>
        <v>0</v>
      </c>
      <c r="H181" s="27">
        <f t="shared" si="39"/>
        <v>0</v>
      </c>
      <c r="I181" s="27">
        <f t="shared" si="39"/>
        <v>0</v>
      </c>
      <c r="J181" s="27">
        <f t="shared" si="39"/>
        <v>0</v>
      </c>
    </row>
    <row r="182" spans="1:10" x14ac:dyDescent="0.35">
      <c r="A182" s="20"/>
      <c r="B182" s="20"/>
      <c r="C182" s="20"/>
      <c r="D182" s="21"/>
      <c r="E182" s="21"/>
      <c r="F182" s="21"/>
      <c r="G182" s="21"/>
      <c r="H182" s="21"/>
      <c r="I182" s="21"/>
      <c r="J182" s="21"/>
    </row>
    <row r="183" spans="1:10" x14ac:dyDescent="0.35">
      <c r="A183" s="22" t="s">
        <v>7</v>
      </c>
      <c r="B183" s="22"/>
      <c r="C183" s="22"/>
      <c r="D183" s="27">
        <f t="shared" ref="D183:J183" si="40">D151-D181</f>
        <v>0</v>
      </c>
      <c r="E183" s="27">
        <f t="shared" si="40"/>
        <v>0</v>
      </c>
      <c r="F183" s="27">
        <f t="shared" si="40"/>
        <v>0</v>
      </c>
      <c r="G183" s="27">
        <f t="shared" si="40"/>
        <v>0</v>
      </c>
      <c r="H183" s="27">
        <f t="shared" si="40"/>
        <v>0</v>
      </c>
      <c r="I183" s="27">
        <f t="shared" si="40"/>
        <v>0</v>
      </c>
      <c r="J183" s="27">
        <f t="shared" si="40"/>
        <v>0</v>
      </c>
    </row>
    <row r="184" spans="1:10" x14ac:dyDescent="0.35">
      <c r="A184" s="28"/>
      <c r="B184" s="28"/>
      <c r="C184" s="28"/>
      <c r="D184" s="19"/>
      <c r="E184" s="19"/>
      <c r="F184" s="19"/>
      <c r="G184" s="19"/>
      <c r="H184" s="19"/>
      <c r="I184" s="19"/>
      <c r="J184" s="19"/>
    </row>
    <row r="185" spans="1:10" x14ac:dyDescent="0.35">
      <c r="A185" s="496" t="s">
        <v>418</v>
      </c>
      <c r="B185" s="496"/>
      <c r="C185" s="496"/>
      <c r="D185" s="496"/>
      <c r="E185" s="496"/>
      <c r="F185" s="496"/>
      <c r="G185" s="496"/>
      <c r="H185" s="496"/>
      <c r="I185" s="496"/>
      <c r="J185" s="496"/>
    </row>
    <row r="187" spans="1:10" x14ac:dyDescent="0.35">
      <c r="A187" t="s">
        <v>531</v>
      </c>
    </row>
    <row r="188" spans="1:10" x14ac:dyDescent="0.35">
      <c r="A188">
        <v>1</v>
      </c>
      <c r="B188" t="s">
        <v>542</v>
      </c>
    </row>
    <row r="189" spans="1:10" x14ac:dyDescent="0.35">
      <c r="A189">
        <v>2</v>
      </c>
      <c r="B189" t="s">
        <v>543</v>
      </c>
    </row>
    <row r="190" spans="1:10" x14ac:dyDescent="0.35">
      <c r="A190">
        <v>3</v>
      </c>
      <c r="B190" s="19" t="s">
        <v>582</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heetViews>
  <sheetFormatPr defaultColWidth="8.7265625" defaultRowHeight="14.5" x14ac:dyDescent="0.35"/>
  <cols>
    <col min="1" max="1" width="37.7265625" style="107" bestFit="1" customWidth="1"/>
    <col min="2" max="2" width="11.81640625" style="107" customWidth="1"/>
    <col min="3" max="3" width="12.453125" style="107" customWidth="1"/>
    <col min="4" max="4" width="15.453125" style="107" customWidth="1"/>
    <col min="5" max="6" width="16" style="107" customWidth="1"/>
    <col min="7" max="7" width="15" style="107" customWidth="1"/>
    <col min="8" max="8" width="16.1796875" style="107" customWidth="1"/>
    <col min="9" max="9" width="15.453125" style="107" customWidth="1"/>
    <col min="10" max="10" width="15.26953125" style="107" customWidth="1"/>
    <col min="11" max="16384" width="8.7265625" style="107"/>
  </cols>
  <sheetData>
    <row r="2" spans="1:10" x14ac:dyDescent="0.35">
      <c r="A2" s="497" t="s">
        <v>569</v>
      </c>
      <c r="B2" s="497"/>
      <c r="C2" s="497"/>
      <c r="D2" s="497"/>
      <c r="E2" s="497"/>
      <c r="F2" s="497"/>
      <c r="G2" s="497"/>
      <c r="H2" s="497"/>
    </row>
    <row r="3" spans="1:10" x14ac:dyDescent="0.35">
      <c r="A3" s="497" t="s">
        <v>570</v>
      </c>
      <c r="B3" s="497"/>
      <c r="C3" s="497"/>
      <c r="D3" s="497"/>
      <c r="E3" s="497"/>
      <c r="F3" s="497"/>
      <c r="G3" s="497"/>
      <c r="H3" s="497"/>
    </row>
    <row r="4" spans="1:10" x14ac:dyDescent="0.35">
      <c r="A4" s="169" t="s">
        <v>157</v>
      </c>
      <c r="B4" s="170">
        <v>700</v>
      </c>
      <c r="C4" s="171" t="s">
        <v>297</v>
      </c>
      <c r="D4" s="171"/>
      <c r="E4" s="171"/>
      <c r="F4" s="171"/>
      <c r="G4" s="172"/>
    </row>
    <row r="5" spans="1:10" x14ac:dyDescent="0.35">
      <c r="A5" s="169"/>
      <c r="B5" s="173"/>
      <c r="C5" s="172"/>
      <c r="D5" s="172"/>
      <c r="E5" s="172"/>
      <c r="F5" s="172"/>
      <c r="G5" s="172"/>
    </row>
    <row r="6" spans="1:10" x14ac:dyDescent="0.35">
      <c r="A6" s="169" t="s">
        <v>299</v>
      </c>
      <c r="B6" s="174">
        <v>12</v>
      </c>
      <c r="C6" s="172"/>
      <c r="D6" s="174"/>
      <c r="E6" s="174"/>
      <c r="F6" s="172"/>
      <c r="G6" s="172"/>
    </row>
    <row r="7" spans="1:10" x14ac:dyDescent="0.35">
      <c r="A7" s="169"/>
      <c r="C7" s="174"/>
      <c r="D7" s="174"/>
      <c r="E7" s="174"/>
      <c r="F7" s="172"/>
      <c r="G7" s="172"/>
    </row>
    <row r="8" spans="1:10" x14ac:dyDescent="0.35">
      <c r="A8" s="110" t="s">
        <v>127</v>
      </c>
      <c r="B8" s="111" t="s">
        <v>2</v>
      </c>
      <c r="C8" s="111" t="s">
        <v>3</v>
      </c>
      <c r="D8" s="111" t="s">
        <v>4</v>
      </c>
      <c r="E8" s="111" t="s">
        <v>5</v>
      </c>
      <c r="F8" s="111" t="s">
        <v>6</v>
      </c>
      <c r="G8" s="111" t="s">
        <v>165</v>
      </c>
      <c r="H8" s="111" t="s">
        <v>164</v>
      </c>
    </row>
    <row r="9" spans="1:10" x14ac:dyDescent="0.35">
      <c r="A9" s="112" t="s">
        <v>300</v>
      </c>
      <c r="B9" s="175">
        <v>0.8</v>
      </c>
      <c r="C9" s="175">
        <f>B9+5%</f>
        <v>0.85000000000000009</v>
      </c>
      <c r="D9" s="175">
        <f>C9+5%</f>
        <v>0.90000000000000013</v>
      </c>
      <c r="E9" s="175">
        <f>D9+5%</f>
        <v>0.95000000000000018</v>
      </c>
      <c r="F9" s="175">
        <f>E9+5%</f>
        <v>1.0000000000000002</v>
      </c>
      <c r="G9" s="175">
        <f>F9</f>
        <v>1.0000000000000002</v>
      </c>
      <c r="H9" s="175">
        <f>G9</f>
        <v>1.0000000000000002</v>
      </c>
    </row>
    <row r="10" spans="1:10" x14ac:dyDescent="0.35">
      <c r="A10" s="116" t="s">
        <v>706</v>
      </c>
      <c r="B10" s="176">
        <f t="shared" ref="B10:H10" si="0">$B$4*B9*$B$6</f>
        <v>6720</v>
      </c>
      <c r="C10" s="176">
        <f t="shared" si="0"/>
        <v>7140.0000000000018</v>
      </c>
      <c r="D10" s="176">
        <f t="shared" si="0"/>
        <v>7560.0000000000018</v>
      </c>
      <c r="E10" s="176">
        <f t="shared" si="0"/>
        <v>7980.0000000000018</v>
      </c>
      <c r="F10" s="176">
        <f t="shared" si="0"/>
        <v>8400.0000000000018</v>
      </c>
      <c r="G10" s="176">
        <f t="shared" si="0"/>
        <v>8400.0000000000018</v>
      </c>
      <c r="H10" s="176">
        <f t="shared" si="0"/>
        <v>8400.0000000000018</v>
      </c>
    </row>
    <row r="15" spans="1:10" x14ac:dyDescent="0.35">
      <c r="A15" s="423" t="s">
        <v>571</v>
      </c>
      <c r="B15" s="423"/>
      <c r="C15" s="423"/>
      <c r="D15" s="423"/>
      <c r="E15" s="423"/>
      <c r="F15" s="423"/>
      <c r="G15" s="423"/>
      <c r="H15" s="423"/>
      <c r="I15" s="423"/>
      <c r="J15" s="423"/>
    </row>
    <row r="16" spans="1:10" x14ac:dyDescent="0.35">
      <c r="A16" s="177"/>
      <c r="B16" s="177"/>
      <c r="C16" s="177"/>
      <c r="D16" s="177"/>
      <c r="E16" s="177"/>
      <c r="F16" s="177"/>
      <c r="G16" s="177"/>
      <c r="H16" s="177"/>
    </row>
    <row r="17" spans="1:10" x14ac:dyDescent="0.35">
      <c r="D17" s="108">
        <v>1</v>
      </c>
      <c r="E17" s="109">
        <f>(D17*5%)+D17</f>
        <v>1.05</v>
      </c>
      <c r="F17" s="109">
        <f t="shared" ref="F17:J17" si="1">(E17*5%)+E17</f>
        <v>1.1025</v>
      </c>
      <c r="G17" s="109">
        <f t="shared" si="1"/>
        <v>1.1576250000000001</v>
      </c>
      <c r="H17" s="109">
        <f t="shared" si="1"/>
        <v>1.2155062500000002</v>
      </c>
      <c r="I17" s="109">
        <f t="shared" si="1"/>
        <v>1.2762815625000004</v>
      </c>
      <c r="J17" s="109">
        <f t="shared" si="1"/>
        <v>1.3400956406250004</v>
      </c>
    </row>
    <row r="18" spans="1:10" x14ac:dyDescent="0.35">
      <c r="A18" s="110" t="s">
        <v>0</v>
      </c>
      <c r="B18" s="110" t="s">
        <v>131</v>
      </c>
      <c r="C18" s="110" t="s">
        <v>149</v>
      </c>
      <c r="D18" s="111" t="s">
        <v>2</v>
      </c>
      <c r="E18" s="111" t="s">
        <v>3</v>
      </c>
      <c r="F18" s="111" t="s">
        <v>4</v>
      </c>
      <c r="G18" s="111" t="s">
        <v>5</v>
      </c>
      <c r="H18" s="111" t="s">
        <v>6</v>
      </c>
      <c r="I18" s="111" t="s">
        <v>165</v>
      </c>
      <c r="J18" s="111" t="s">
        <v>164</v>
      </c>
    </row>
    <row r="19" spans="1:10" x14ac:dyDescent="0.35">
      <c r="A19" s="112"/>
      <c r="B19" s="112"/>
      <c r="C19" s="112"/>
      <c r="D19" s="112"/>
      <c r="E19" s="112"/>
      <c r="F19" s="112"/>
      <c r="G19" s="112"/>
      <c r="H19" s="112"/>
      <c r="I19" s="112"/>
      <c r="J19" s="112"/>
    </row>
    <row r="20" spans="1:10" x14ac:dyDescent="0.35">
      <c r="A20" s="116" t="s">
        <v>173</v>
      </c>
      <c r="B20" s="116"/>
      <c r="C20" s="116"/>
      <c r="D20" s="112"/>
      <c r="E20" s="112"/>
      <c r="F20" s="112"/>
      <c r="G20" s="112"/>
      <c r="H20" s="112"/>
      <c r="I20" s="112"/>
      <c r="J20" s="112"/>
    </row>
    <row r="21" spans="1:10" x14ac:dyDescent="0.35">
      <c r="A21" s="112" t="s">
        <v>319</v>
      </c>
      <c r="B21" s="112"/>
      <c r="C21" s="114">
        <v>100</v>
      </c>
      <c r="D21" s="115">
        <f t="shared" ref="D21:J21" si="2">B10*$C$21*D17</f>
        <v>672000</v>
      </c>
      <c r="E21" s="115">
        <f t="shared" si="2"/>
        <v>749700.00000000023</v>
      </c>
      <c r="F21" s="115">
        <f t="shared" si="2"/>
        <v>833490.00000000023</v>
      </c>
      <c r="G21" s="115">
        <f t="shared" si="2"/>
        <v>923784.75000000035</v>
      </c>
      <c r="H21" s="115">
        <f t="shared" si="2"/>
        <v>1021025.2500000005</v>
      </c>
      <c r="I21" s="115">
        <f t="shared" si="2"/>
        <v>1072076.5125000007</v>
      </c>
      <c r="J21" s="115">
        <f t="shared" si="2"/>
        <v>1125680.3381250007</v>
      </c>
    </row>
    <row r="22" spans="1:10" x14ac:dyDescent="0.35">
      <c r="A22" s="112"/>
      <c r="B22" s="112"/>
      <c r="C22" s="115"/>
      <c r="D22" s="115"/>
      <c r="E22" s="115"/>
      <c r="F22" s="115"/>
      <c r="G22" s="115"/>
      <c r="H22" s="115"/>
      <c r="I22" s="115"/>
      <c r="J22" s="115"/>
    </row>
    <row r="23" spans="1:10" x14ac:dyDescent="0.35">
      <c r="A23" s="116" t="s">
        <v>141</v>
      </c>
      <c r="B23" s="116"/>
      <c r="C23" s="117"/>
      <c r="D23" s="115">
        <f t="shared" ref="D23:J23" si="3">SUM(D21:D21)</f>
        <v>672000</v>
      </c>
      <c r="E23" s="115">
        <f t="shared" si="3"/>
        <v>749700.00000000023</v>
      </c>
      <c r="F23" s="115">
        <f t="shared" si="3"/>
        <v>833490.00000000023</v>
      </c>
      <c r="G23" s="115">
        <f t="shared" si="3"/>
        <v>923784.75000000035</v>
      </c>
      <c r="H23" s="115">
        <f t="shared" si="3"/>
        <v>1021025.2500000005</v>
      </c>
      <c r="I23" s="115">
        <f t="shared" si="3"/>
        <v>1072076.5125000007</v>
      </c>
      <c r="J23" s="115">
        <f t="shared" si="3"/>
        <v>1125680.3381250007</v>
      </c>
    </row>
    <row r="24" spans="1:10" x14ac:dyDescent="0.35">
      <c r="A24" s="112"/>
      <c r="B24" s="112"/>
      <c r="C24" s="115"/>
      <c r="D24" s="115"/>
      <c r="E24" s="115"/>
      <c r="F24" s="115"/>
      <c r="G24" s="115"/>
      <c r="H24" s="115"/>
      <c r="I24" s="115"/>
      <c r="J24" s="115"/>
    </row>
    <row r="25" spans="1:10" x14ac:dyDescent="0.35">
      <c r="A25" s="116" t="s">
        <v>140</v>
      </c>
      <c r="B25" s="116"/>
      <c r="C25" s="115"/>
      <c r="D25" s="115"/>
      <c r="E25" s="115"/>
      <c r="F25" s="115"/>
      <c r="G25" s="115"/>
      <c r="H25" s="115"/>
      <c r="I25" s="115"/>
      <c r="J25" s="115"/>
    </row>
    <row r="26" spans="1:10" x14ac:dyDescent="0.35">
      <c r="A26" s="116" t="s">
        <v>310</v>
      </c>
      <c r="B26" s="116"/>
      <c r="C26" s="115"/>
      <c r="D26" s="115"/>
      <c r="E26" s="115"/>
      <c r="F26" s="115"/>
      <c r="G26" s="115"/>
      <c r="H26" s="115"/>
      <c r="I26" s="115"/>
      <c r="J26" s="115"/>
    </row>
    <row r="27" spans="1:10" x14ac:dyDescent="0.35">
      <c r="A27" s="112" t="s">
        <v>301</v>
      </c>
      <c r="B27" s="113" t="s">
        <v>297</v>
      </c>
      <c r="C27" s="114">
        <v>2</v>
      </c>
      <c r="D27" s="115">
        <f t="shared" ref="D27:J27" si="4">$B$4*$C$27*D17*4</f>
        <v>5600</v>
      </c>
      <c r="E27" s="115">
        <f t="shared" si="4"/>
        <v>5880</v>
      </c>
      <c r="F27" s="115">
        <f t="shared" si="4"/>
        <v>6174</v>
      </c>
      <c r="G27" s="115">
        <f t="shared" si="4"/>
        <v>6482.7000000000007</v>
      </c>
      <c r="H27" s="115">
        <f t="shared" si="4"/>
        <v>6806.8350000000009</v>
      </c>
      <c r="I27" s="115">
        <f t="shared" si="4"/>
        <v>7147.1767500000024</v>
      </c>
      <c r="J27" s="115">
        <f t="shared" si="4"/>
        <v>7504.5355875000023</v>
      </c>
    </row>
    <row r="28" spans="1:10" x14ac:dyDescent="0.35">
      <c r="A28" s="112" t="s">
        <v>302</v>
      </c>
      <c r="B28" s="113" t="s">
        <v>297</v>
      </c>
      <c r="C28" s="114">
        <v>10</v>
      </c>
      <c r="D28" s="115">
        <f t="shared" ref="D28:J28" si="5">$B$4*$C$28*D17*12</f>
        <v>84000</v>
      </c>
      <c r="E28" s="115">
        <f t="shared" si="5"/>
        <v>88200</v>
      </c>
      <c r="F28" s="115">
        <f t="shared" si="5"/>
        <v>92610</v>
      </c>
      <c r="G28" s="115">
        <f t="shared" si="5"/>
        <v>97240.500000000015</v>
      </c>
      <c r="H28" s="115">
        <f t="shared" si="5"/>
        <v>102102.52500000001</v>
      </c>
      <c r="I28" s="115">
        <f t="shared" si="5"/>
        <v>107207.65125000002</v>
      </c>
      <c r="J28" s="115">
        <f t="shared" si="5"/>
        <v>112568.03381250004</v>
      </c>
    </row>
    <row r="29" spans="1:10" x14ac:dyDescent="0.35">
      <c r="A29" s="112" t="s">
        <v>303</v>
      </c>
      <c r="B29" s="113"/>
      <c r="C29" s="114">
        <v>10000</v>
      </c>
      <c r="D29" s="115">
        <f>$C$29*12*D17</f>
        <v>120000</v>
      </c>
      <c r="E29" s="115">
        <f t="shared" ref="E29:J29" si="6">$C$29*12*E17</f>
        <v>126000</v>
      </c>
      <c r="F29" s="115">
        <f t="shared" si="6"/>
        <v>132300</v>
      </c>
      <c r="G29" s="115">
        <f t="shared" si="6"/>
        <v>138915.00000000003</v>
      </c>
      <c r="H29" s="115">
        <f t="shared" si="6"/>
        <v>145860.75000000003</v>
      </c>
      <c r="I29" s="115">
        <f t="shared" si="6"/>
        <v>153153.78750000003</v>
      </c>
      <c r="J29" s="115">
        <f t="shared" si="6"/>
        <v>160811.47687500005</v>
      </c>
    </row>
    <row r="30" spans="1:10" x14ac:dyDescent="0.35">
      <c r="A30" s="112"/>
      <c r="B30" s="113"/>
      <c r="C30" s="114"/>
      <c r="D30" s="115"/>
      <c r="E30" s="115"/>
      <c r="F30" s="115"/>
      <c r="G30" s="115"/>
      <c r="H30" s="115"/>
      <c r="I30" s="115"/>
      <c r="J30" s="115"/>
    </row>
    <row r="31" spans="1:10" x14ac:dyDescent="0.35">
      <c r="A31" s="112"/>
      <c r="B31" s="113"/>
      <c r="C31" s="114"/>
      <c r="D31" s="115"/>
      <c r="E31" s="115"/>
      <c r="F31" s="115"/>
      <c r="G31" s="115"/>
      <c r="H31" s="115"/>
      <c r="I31" s="115"/>
      <c r="J31" s="115"/>
    </row>
    <row r="32" spans="1:10" x14ac:dyDescent="0.35">
      <c r="A32" s="112"/>
      <c r="B32" s="113"/>
      <c r="C32" s="114"/>
      <c r="D32" s="115"/>
      <c r="E32" s="115"/>
      <c r="F32" s="115"/>
      <c r="G32" s="115"/>
      <c r="H32" s="115"/>
      <c r="I32" s="115"/>
      <c r="J32" s="115"/>
    </row>
    <row r="33" spans="1:10" x14ac:dyDescent="0.35">
      <c r="A33" s="112"/>
      <c r="B33" s="113"/>
      <c r="C33" s="114"/>
      <c r="D33" s="115"/>
      <c r="E33" s="115"/>
      <c r="F33" s="115"/>
      <c r="G33" s="115"/>
      <c r="H33" s="115"/>
      <c r="I33" s="115"/>
      <c r="J33" s="115"/>
    </row>
    <row r="34" spans="1:10" x14ac:dyDescent="0.35">
      <c r="A34" s="116" t="s">
        <v>317</v>
      </c>
      <c r="B34" s="178"/>
      <c r="C34" s="179"/>
      <c r="D34" s="117">
        <f>SUM(D27:D33)</f>
        <v>209600</v>
      </c>
      <c r="E34" s="117">
        <f t="shared" ref="E34:J34" si="7">SUM(E27:E33)</f>
        <v>220080</v>
      </c>
      <c r="F34" s="117">
        <f t="shared" si="7"/>
        <v>231084</v>
      </c>
      <c r="G34" s="117">
        <f t="shared" si="7"/>
        <v>242638.20000000004</v>
      </c>
      <c r="H34" s="117">
        <f t="shared" si="7"/>
        <v>254770.11000000004</v>
      </c>
      <c r="I34" s="117">
        <f t="shared" si="7"/>
        <v>267508.61550000007</v>
      </c>
      <c r="J34" s="117">
        <f t="shared" si="7"/>
        <v>280884.04627500009</v>
      </c>
    </row>
    <row r="35" spans="1:10" x14ac:dyDescent="0.35">
      <c r="A35" s="116"/>
      <c r="B35" s="178"/>
      <c r="C35" s="179"/>
      <c r="D35" s="117"/>
      <c r="E35" s="117"/>
      <c r="F35" s="117"/>
      <c r="G35" s="117"/>
      <c r="H35" s="117"/>
      <c r="I35" s="117"/>
      <c r="J35" s="117"/>
    </row>
    <row r="36" spans="1:10" x14ac:dyDescent="0.35">
      <c r="A36" s="116" t="s">
        <v>308</v>
      </c>
      <c r="B36" s="113"/>
      <c r="C36" s="114"/>
      <c r="D36" s="115"/>
      <c r="E36" s="115"/>
      <c r="F36" s="115"/>
      <c r="G36" s="115"/>
      <c r="H36" s="115"/>
      <c r="I36" s="115"/>
      <c r="J36" s="115"/>
    </row>
    <row r="37" spans="1:10" x14ac:dyDescent="0.35">
      <c r="A37" s="112" t="s">
        <v>318</v>
      </c>
      <c r="B37" s="113">
        <v>1</v>
      </c>
      <c r="C37" s="114">
        <v>15000</v>
      </c>
      <c r="D37" s="115">
        <f>$B$37*$C$37*D17*12</f>
        <v>180000</v>
      </c>
      <c r="E37" s="115">
        <f t="shared" ref="E37:J37" si="8">$B$37*$C$37*E17*12</f>
        <v>189000</v>
      </c>
      <c r="F37" s="115">
        <f t="shared" si="8"/>
        <v>198450</v>
      </c>
      <c r="G37" s="115">
        <f t="shared" si="8"/>
        <v>208372.50000000006</v>
      </c>
      <c r="H37" s="115">
        <f t="shared" si="8"/>
        <v>218791.12500000006</v>
      </c>
      <c r="I37" s="115">
        <f t="shared" si="8"/>
        <v>229730.68125000005</v>
      </c>
      <c r="J37" s="115">
        <f t="shared" si="8"/>
        <v>241217.21531250008</v>
      </c>
    </row>
    <row r="38" spans="1:10" x14ac:dyDescent="0.35">
      <c r="A38" s="112" t="s">
        <v>704</v>
      </c>
      <c r="B38" s="113">
        <v>1</v>
      </c>
      <c r="C38" s="114">
        <v>10000</v>
      </c>
      <c r="D38" s="115">
        <f>$B$38*$C$38*D17*12</f>
        <v>120000</v>
      </c>
      <c r="E38" s="115">
        <f t="shared" ref="E38:J38" si="9">$B$38*$C$38*E17*12</f>
        <v>126000</v>
      </c>
      <c r="F38" s="115">
        <f t="shared" si="9"/>
        <v>132300</v>
      </c>
      <c r="G38" s="115">
        <f t="shared" si="9"/>
        <v>138915.00000000003</v>
      </c>
      <c r="H38" s="115">
        <f t="shared" si="9"/>
        <v>145860.75000000003</v>
      </c>
      <c r="I38" s="115">
        <f t="shared" si="9"/>
        <v>153153.78750000003</v>
      </c>
      <c r="J38" s="115">
        <f t="shared" si="9"/>
        <v>160811.47687500005</v>
      </c>
    </row>
    <row r="39" spans="1:10" x14ac:dyDescent="0.35">
      <c r="A39" s="112"/>
      <c r="B39" s="113"/>
      <c r="C39" s="114"/>
      <c r="D39" s="115"/>
      <c r="E39" s="115"/>
      <c r="F39" s="115"/>
      <c r="G39" s="115"/>
      <c r="H39" s="115"/>
      <c r="I39" s="115"/>
      <c r="J39" s="115"/>
    </row>
    <row r="40" spans="1:10" x14ac:dyDescent="0.35">
      <c r="A40" s="112"/>
      <c r="B40" s="113"/>
      <c r="C40" s="114"/>
      <c r="D40" s="115"/>
      <c r="E40" s="115"/>
      <c r="F40" s="115"/>
      <c r="G40" s="115"/>
      <c r="H40" s="115"/>
      <c r="I40" s="115"/>
      <c r="J40" s="115"/>
    </row>
    <row r="41" spans="1:10" x14ac:dyDescent="0.35">
      <c r="A41" s="112"/>
      <c r="B41" s="113"/>
      <c r="C41" s="114"/>
      <c r="D41" s="115"/>
      <c r="E41" s="115"/>
      <c r="F41" s="115"/>
      <c r="G41" s="115"/>
      <c r="H41" s="115"/>
      <c r="I41" s="115"/>
      <c r="J41" s="115"/>
    </row>
    <row r="42" spans="1:10" x14ac:dyDescent="0.35">
      <c r="A42" s="112"/>
      <c r="B42" s="113"/>
      <c r="C42" s="114"/>
      <c r="D42" s="115"/>
      <c r="E42" s="115"/>
      <c r="F42" s="115"/>
      <c r="G42" s="115"/>
      <c r="H42" s="115"/>
      <c r="I42" s="115"/>
      <c r="J42" s="115"/>
    </row>
    <row r="43" spans="1:10" x14ac:dyDescent="0.35">
      <c r="A43" s="116" t="s">
        <v>320</v>
      </c>
      <c r="B43" s="116"/>
      <c r="C43" s="117"/>
      <c r="D43" s="117">
        <f>SUM(D37:D38)</f>
        <v>300000</v>
      </c>
      <c r="E43" s="117">
        <f t="shared" ref="E43:J43" si="10">SUM(E37:E42)</f>
        <v>315000</v>
      </c>
      <c r="F43" s="117">
        <f t="shared" si="10"/>
        <v>330750</v>
      </c>
      <c r="G43" s="117">
        <f t="shared" si="10"/>
        <v>347287.50000000012</v>
      </c>
      <c r="H43" s="117">
        <f t="shared" si="10"/>
        <v>364651.87500000012</v>
      </c>
      <c r="I43" s="117">
        <f t="shared" si="10"/>
        <v>382884.46875000012</v>
      </c>
      <c r="J43" s="117">
        <f t="shared" si="10"/>
        <v>402028.69218750013</v>
      </c>
    </row>
    <row r="44" spans="1:10" x14ac:dyDescent="0.35">
      <c r="A44" s="116"/>
      <c r="B44" s="116"/>
      <c r="C44" s="117"/>
      <c r="D44" s="117"/>
      <c r="E44" s="117"/>
      <c r="F44" s="117"/>
      <c r="G44" s="117"/>
      <c r="H44" s="117"/>
      <c r="I44" s="117"/>
      <c r="J44" s="117"/>
    </row>
    <row r="45" spans="1:10" x14ac:dyDescent="0.35">
      <c r="A45" s="116" t="s">
        <v>128</v>
      </c>
      <c r="B45" s="116"/>
      <c r="C45" s="117"/>
      <c r="D45" s="117">
        <f>D34+D43</f>
        <v>509600</v>
      </c>
      <c r="E45" s="117">
        <f t="shared" ref="E45:J45" si="11">E34+E43</f>
        <v>535080</v>
      </c>
      <c r="F45" s="117">
        <f t="shared" si="11"/>
        <v>561834</v>
      </c>
      <c r="G45" s="117">
        <f t="shared" si="11"/>
        <v>589925.70000000019</v>
      </c>
      <c r="H45" s="117">
        <f t="shared" si="11"/>
        <v>619421.9850000001</v>
      </c>
      <c r="I45" s="117">
        <f t="shared" si="11"/>
        <v>650393.08425000019</v>
      </c>
      <c r="J45" s="117">
        <f t="shared" si="11"/>
        <v>682912.73846250027</v>
      </c>
    </row>
    <row r="46" spans="1:10" x14ac:dyDescent="0.35">
      <c r="A46" s="112"/>
      <c r="B46" s="112"/>
      <c r="C46" s="115"/>
      <c r="D46" s="115"/>
      <c r="E46" s="115"/>
      <c r="F46" s="115"/>
      <c r="G46" s="115"/>
      <c r="H46" s="115"/>
      <c r="I46" s="115"/>
      <c r="J46" s="115"/>
    </row>
    <row r="47" spans="1:10" x14ac:dyDescent="0.35">
      <c r="A47" s="116" t="s">
        <v>678</v>
      </c>
      <c r="B47" s="116"/>
      <c r="C47" s="117"/>
      <c r="D47" s="117">
        <f>D23-D45</f>
        <v>162400</v>
      </c>
      <c r="E47" s="117">
        <f t="shared" ref="E47:J47" si="12">E23-E45</f>
        <v>214620.00000000023</v>
      </c>
      <c r="F47" s="117">
        <f t="shared" si="12"/>
        <v>271656.00000000023</v>
      </c>
      <c r="G47" s="117">
        <f t="shared" si="12"/>
        <v>333859.05000000016</v>
      </c>
      <c r="H47" s="117">
        <f t="shared" si="12"/>
        <v>401603.26500000036</v>
      </c>
      <c r="I47" s="117">
        <f t="shared" si="12"/>
        <v>421683.42825000046</v>
      </c>
      <c r="J47" s="117">
        <f t="shared" si="12"/>
        <v>442767.59966250043</v>
      </c>
    </row>
    <row r="51" spans="1:10" x14ac:dyDescent="0.35">
      <c r="A51" s="423" t="s">
        <v>418</v>
      </c>
      <c r="B51" s="423"/>
      <c r="C51" s="423"/>
      <c r="D51" s="423"/>
      <c r="E51" s="423"/>
      <c r="F51" s="423"/>
      <c r="G51" s="423"/>
      <c r="H51" s="423"/>
      <c r="I51" s="423"/>
      <c r="J51" s="423"/>
    </row>
    <row r="53" spans="1:10" x14ac:dyDescent="0.35">
      <c r="A53" s="107" t="s">
        <v>531</v>
      </c>
    </row>
    <row r="54" spans="1:10" x14ac:dyDescent="0.35">
      <c r="A54" s="107">
        <v>1</v>
      </c>
      <c r="B54" s="107" t="s">
        <v>542</v>
      </c>
    </row>
    <row r="55" spans="1:10" x14ac:dyDescent="0.35">
      <c r="A55" s="107">
        <v>2</v>
      </c>
      <c r="B55" s="107" t="s">
        <v>543</v>
      </c>
    </row>
    <row r="56" spans="1:10" x14ac:dyDescent="0.35">
      <c r="A56" s="107">
        <v>3</v>
      </c>
      <c r="B56" s="107" t="s">
        <v>582</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A28" zoomScale="80" zoomScaleSheetLayoutView="80" workbookViewId="0">
      <selection activeCell="A15" sqref="A15"/>
    </sheetView>
  </sheetViews>
  <sheetFormatPr defaultRowHeight="14.5" x14ac:dyDescent="0.3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x14ac:dyDescent="0.35">
      <c r="A3" s="477" t="s">
        <v>572</v>
      </c>
      <c r="B3" s="477"/>
      <c r="C3" s="477"/>
      <c r="D3" s="477"/>
      <c r="E3" s="477"/>
      <c r="F3" s="477"/>
      <c r="G3" s="477"/>
      <c r="H3" s="477"/>
      <c r="I3" s="477"/>
      <c r="J3" s="477"/>
      <c r="K3" s="477"/>
      <c r="L3" s="477"/>
    </row>
    <row r="4" spans="1:13" ht="17.5" x14ac:dyDescent="0.35">
      <c r="A4" s="477" t="s">
        <v>573</v>
      </c>
      <c r="B4" s="477"/>
      <c r="C4" s="477"/>
      <c r="D4" s="477"/>
      <c r="E4" s="477"/>
      <c r="F4" s="477"/>
      <c r="G4" s="477"/>
      <c r="H4" s="477"/>
      <c r="I4" s="477"/>
      <c r="J4" s="477"/>
      <c r="K4" s="477"/>
      <c r="L4" s="477"/>
    </row>
    <row r="5" spans="1:13" x14ac:dyDescent="0.35">
      <c r="A5" s="19"/>
      <c r="B5" s="19"/>
      <c r="C5" s="19"/>
    </row>
    <row r="6" spans="1:13" x14ac:dyDescent="0.35">
      <c r="A6" s="19"/>
      <c r="B6" s="19"/>
      <c r="C6" s="19"/>
    </row>
    <row r="7" spans="1:13" ht="43.5" x14ac:dyDescent="0.35">
      <c r="A7" s="60" t="s">
        <v>143</v>
      </c>
      <c r="B7" s="61" t="s">
        <v>426</v>
      </c>
      <c r="C7" s="61" t="s">
        <v>434</v>
      </c>
      <c r="D7" s="61" t="s">
        <v>432</v>
      </c>
      <c r="E7" s="61" t="s">
        <v>433</v>
      </c>
      <c r="F7" s="61" t="s">
        <v>304</v>
      </c>
      <c r="G7" s="61" t="s">
        <v>435</v>
      </c>
      <c r="H7" s="61" t="s">
        <v>436</v>
      </c>
      <c r="I7" s="61" t="s">
        <v>437</v>
      </c>
      <c r="J7" s="63" t="s">
        <v>440</v>
      </c>
      <c r="K7" s="61" t="s">
        <v>438</v>
      </c>
      <c r="L7" s="63" t="s">
        <v>439</v>
      </c>
      <c r="M7" s="61" t="s">
        <v>442</v>
      </c>
    </row>
    <row r="8" spans="1:13" x14ac:dyDescent="0.35">
      <c r="A8" s="62">
        <v>1</v>
      </c>
      <c r="B8" s="58" t="s">
        <v>427</v>
      </c>
      <c r="C8" s="58"/>
      <c r="D8" s="58"/>
      <c r="E8" s="58">
        <v>6</v>
      </c>
      <c r="F8" s="65">
        <f>D8*E8*C8</f>
        <v>0</v>
      </c>
      <c r="G8" s="58">
        <v>4</v>
      </c>
      <c r="H8" s="65">
        <f>F8/G8</f>
        <v>0</v>
      </c>
      <c r="I8" s="58">
        <v>12</v>
      </c>
      <c r="J8" s="65">
        <f>H8*I8</f>
        <v>0</v>
      </c>
      <c r="K8" s="58">
        <v>3000</v>
      </c>
      <c r="L8" s="58">
        <v>1</v>
      </c>
      <c r="M8" s="65">
        <f t="shared" ref="M8:M17" si="0">D8*L8</f>
        <v>0</v>
      </c>
    </row>
    <row r="9" spans="1:13" x14ac:dyDescent="0.35">
      <c r="A9" s="62">
        <v>2</v>
      </c>
      <c r="B9" s="58" t="s">
        <v>428</v>
      </c>
      <c r="C9" s="58"/>
      <c r="D9" s="58"/>
      <c r="E9" s="58">
        <v>6</v>
      </c>
      <c r="F9" s="65">
        <f t="shared" ref="F9:F17" si="1">D9*E9*C9</f>
        <v>0</v>
      </c>
      <c r="G9" s="58">
        <v>2</v>
      </c>
      <c r="H9" s="65">
        <f>F9/G9</f>
        <v>0</v>
      </c>
      <c r="I9" s="58">
        <v>8</v>
      </c>
      <c r="J9" s="65">
        <f t="shared" ref="J9:J17" si="2">H9*I9</f>
        <v>0</v>
      </c>
      <c r="K9" s="58">
        <v>1800</v>
      </c>
      <c r="L9" s="58">
        <v>1</v>
      </c>
      <c r="M9" s="65">
        <f t="shared" si="0"/>
        <v>0</v>
      </c>
    </row>
    <row r="10" spans="1:13" x14ac:dyDescent="0.35">
      <c r="A10" s="62">
        <v>3</v>
      </c>
      <c r="B10" s="58" t="s">
        <v>429</v>
      </c>
      <c r="C10" s="58"/>
      <c r="D10" s="58"/>
      <c r="E10" s="58">
        <v>6</v>
      </c>
      <c r="F10" s="65">
        <f t="shared" si="1"/>
        <v>0</v>
      </c>
      <c r="G10" s="58">
        <v>2</v>
      </c>
      <c r="H10" s="65">
        <f>F10/G10</f>
        <v>0</v>
      </c>
      <c r="I10" s="58">
        <v>8</v>
      </c>
      <c r="J10" s="65">
        <f t="shared" si="2"/>
        <v>0</v>
      </c>
      <c r="K10" s="58">
        <v>1800</v>
      </c>
      <c r="L10" s="58">
        <v>1</v>
      </c>
      <c r="M10" s="65">
        <f t="shared" si="0"/>
        <v>0</v>
      </c>
    </row>
    <row r="11" spans="1:13" x14ac:dyDescent="0.35">
      <c r="A11" s="62">
        <v>4</v>
      </c>
      <c r="B11" s="58" t="s">
        <v>430</v>
      </c>
      <c r="C11" s="58"/>
      <c r="D11" s="58"/>
      <c r="E11" s="58">
        <v>6</v>
      </c>
      <c r="F11" s="65">
        <f t="shared" si="1"/>
        <v>0</v>
      </c>
      <c r="G11" s="58">
        <v>2</v>
      </c>
      <c r="H11" s="65">
        <f>F11/G11</f>
        <v>0</v>
      </c>
      <c r="I11" s="58">
        <v>4</v>
      </c>
      <c r="J11" s="65">
        <f t="shared" si="2"/>
        <v>0</v>
      </c>
      <c r="K11" s="58">
        <v>1200</v>
      </c>
      <c r="L11" s="58">
        <v>1</v>
      </c>
      <c r="M11" s="65">
        <f t="shared" si="0"/>
        <v>0</v>
      </c>
    </row>
    <row r="12" spans="1:13" x14ac:dyDescent="0.35">
      <c r="A12" s="62">
        <v>5</v>
      </c>
      <c r="B12" s="58" t="s">
        <v>431</v>
      </c>
      <c r="C12" s="58"/>
      <c r="D12" s="58"/>
      <c r="E12" s="58">
        <v>6</v>
      </c>
      <c r="F12" s="65">
        <f t="shared" si="1"/>
        <v>0</v>
      </c>
      <c r="G12" s="58">
        <v>2</v>
      </c>
      <c r="H12" s="65">
        <f>F12/G12</f>
        <v>0</v>
      </c>
      <c r="I12" s="58">
        <v>10</v>
      </c>
      <c r="J12" s="65">
        <f t="shared" si="2"/>
        <v>0</v>
      </c>
      <c r="K12" s="58">
        <v>3000</v>
      </c>
      <c r="L12" s="58">
        <v>1</v>
      </c>
      <c r="M12" s="65">
        <f t="shared" si="0"/>
        <v>0</v>
      </c>
    </row>
    <row r="13" spans="1:13" x14ac:dyDescent="0.35">
      <c r="A13" s="62">
        <v>6</v>
      </c>
      <c r="B13" s="5"/>
      <c r="C13" s="5"/>
      <c r="D13" s="5"/>
      <c r="E13" s="5"/>
      <c r="F13" s="65">
        <f t="shared" si="1"/>
        <v>0</v>
      </c>
      <c r="G13" s="5">
        <v>0</v>
      </c>
      <c r="H13" s="58"/>
      <c r="I13" s="5"/>
      <c r="J13" s="65">
        <f t="shared" si="2"/>
        <v>0</v>
      </c>
      <c r="K13" s="5"/>
      <c r="L13" s="65"/>
      <c r="M13" s="65">
        <f t="shared" si="0"/>
        <v>0</v>
      </c>
    </row>
    <row r="14" spans="1:13" x14ac:dyDescent="0.35">
      <c r="A14" s="62">
        <v>7</v>
      </c>
      <c r="B14" s="5"/>
      <c r="C14" s="5"/>
      <c r="D14" s="5"/>
      <c r="E14" s="5"/>
      <c r="F14" s="65">
        <f t="shared" si="1"/>
        <v>0</v>
      </c>
      <c r="G14" s="5">
        <v>0</v>
      </c>
      <c r="H14" s="58"/>
      <c r="I14" s="5"/>
      <c r="J14" s="65">
        <f t="shared" si="2"/>
        <v>0</v>
      </c>
      <c r="K14" s="5"/>
      <c r="L14" s="65"/>
      <c r="M14" s="65">
        <f t="shared" si="0"/>
        <v>0</v>
      </c>
    </row>
    <row r="15" spans="1:13" x14ac:dyDescent="0.35">
      <c r="A15" s="62">
        <v>8</v>
      </c>
      <c r="B15" s="5"/>
      <c r="C15" s="5"/>
      <c r="D15" s="5"/>
      <c r="E15" s="5"/>
      <c r="F15" s="65">
        <f t="shared" si="1"/>
        <v>0</v>
      </c>
      <c r="G15" s="5">
        <v>0</v>
      </c>
      <c r="H15" s="58"/>
      <c r="I15" s="5"/>
      <c r="J15" s="65">
        <f t="shared" si="2"/>
        <v>0</v>
      </c>
      <c r="K15" s="5"/>
      <c r="L15" s="65"/>
      <c r="M15" s="65">
        <f t="shared" si="0"/>
        <v>0</v>
      </c>
    </row>
    <row r="16" spans="1:13" x14ac:dyDescent="0.35">
      <c r="A16" s="62">
        <v>9</v>
      </c>
      <c r="B16" s="5"/>
      <c r="C16" s="5"/>
      <c r="D16" s="5"/>
      <c r="E16" s="5"/>
      <c r="F16" s="65">
        <f t="shared" si="1"/>
        <v>0</v>
      </c>
      <c r="G16" s="5">
        <v>0</v>
      </c>
      <c r="H16" s="58"/>
      <c r="I16" s="5"/>
      <c r="J16" s="65">
        <f t="shared" si="2"/>
        <v>0</v>
      </c>
      <c r="K16" s="5"/>
      <c r="L16" s="65"/>
      <c r="M16" s="65">
        <f t="shared" si="0"/>
        <v>0</v>
      </c>
    </row>
    <row r="17" spans="1:16" x14ac:dyDescent="0.35">
      <c r="A17" s="62">
        <v>10</v>
      </c>
      <c r="B17" s="5"/>
      <c r="C17" s="5"/>
      <c r="D17" s="5"/>
      <c r="E17" s="5"/>
      <c r="F17" s="65">
        <f t="shared" si="1"/>
        <v>0</v>
      </c>
      <c r="G17" s="5">
        <v>0</v>
      </c>
      <c r="H17" s="58"/>
      <c r="I17" s="5"/>
      <c r="J17" s="65">
        <f t="shared" si="2"/>
        <v>0</v>
      </c>
      <c r="K17" s="5"/>
      <c r="L17" s="65"/>
      <c r="M17" s="65">
        <f t="shared" si="0"/>
        <v>0</v>
      </c>
    </row>
    <row r="18" spans="1:16" x14ac:dyDescent="0.35">
      <c r="A18" s="7"/>
      <c r="B18" s="7"/>
      <c r="C18" s="66"/>
      <c r="D18" s="66"/>
      <c r="E18" s="66"/>
      <c r="F18" s="66"/>
      <c r="G18" s="66"/>
      <c r="H18" s="66"/>
      <c r="I18" s="66"/>
      <c r="J18" s="66"/>
      <c r="K18" s="66"/>
      <c r="L18" s="66"/>
      <c r="M18" s="64"/>
    </row>
    <row r="19" spans="1:16" x14ac:dyDescent="0.35">
      <c r="A19" s="7"/>
      <c r="B19" s="7"/>
      <c r="C19" s="66"/>
      <c r="D19" s="66"/>
      <c r="E19" s="66"/>
      <c r="F19" s="66"/>
      <c r="G19" s="66"/>
      <c r="H19" s="66"/>
      <c r="I19" s="66"/>
      <c r="J19" s="66"/>
      <c r="K19" s="66"/>
      <c r="L19" s="66"/>
      <c r="M19" s="64"/>
    </row>
    <row r="21" spans="1:16" ht="17.5" x14ac:dyDescent="0.35">
      <c r="A21" s="477" t="s">
        <v>574</v>
      </c>
      <c r="B21" s="477"/>
      <c r="C21" s="477"/>
      <c r="D21" s="477"/>
      <c r="E21" s="477"/>
      <c r="F21" s="477"/>
      <c r="G21" s="477"/>
      <c r="H21" s="477"/>
      <c r="I21" s="477"/>
      <c r="J21" s="477"/>
      <c r="K21" s="477"/>
    </row>
    <row r="23" spans="1:16" x14ac:dyDescent="0.35">
      <c r="A23" s="19"/>
      <c r="B23" s="19"/>
      <c r="C23" s="19"/>
      <c r="D23" s="19"/>
      <c r="E23" s="31">
        <v>1</v>
      </c>
      <c r="F23" s="32">
        <f>(E23*5%)+E23</f>
        <v>1.05</v>
      </c>
      <c r="G23" s="32">
        <f t="shared" ref="G23:K23" si="3">(F23*5%)+F23</f>
        <v>1.1025</v>
      </c>
      <c r="H23" s="32">
        <f t="shared" si="3"/>
        <v>1.1576250000000001</v>
      </c>
      <c r="I23" s="32">
        <f t="shared" si="3"/>
        <v>1.2155062500000002</v>
      </c>
      <c r="J23" s="32">
        <f t="shared" si="3"/>
        <v>1.2762815625000004</v>
      </c>
      <c r="K23" s="32">
        <f t="shared" si="3"/>
        <v>1.3400956406250004</v>
      </c>
    </row>
    <row r="24" spans="1:16" x14ac:dyDescent="0.35">
      <c r="A24" s="30" t="s">
        <v>0</v>
      </c>
      <c r="B24" s="30" t="s">
        <v>131</v>
      </c>
      <c r="C24" s="30" t="s">
        <v>144</v>
      </c>
      <c r="D24" s="30" t="s">
        <v>149</v>
      </c>
      <c r="E24" s="29" t="s">
        <v>2</v>
      </c>
      <c r="F24" s="29" t="s">
        <v>3</v>
      </c>
      <c r="G24" s="29" t="s">
        <v>4</v>
      </c>
      <c r="H24" s="29" t="s">
        <v>5</v>
      </c>
      <c r="I24" s="29" t="s">
        <v>6</v>
      </c>
      <c r="J24" s="29" t="s">
        <v>165</v>
      </c>
      <c r="K24" s="29" t="s">
        <v>164</v>
      </c>
    </row>
    <row r="25" spans="1:16" x14ac:dyDescent="0.35">
      <c r="A25" s="22"/>
      <c r="B25" s="22"/>
      <c r="C25" s="22"/>
      <c r="D25" s="22"/>
      <c r="E25" s="20"/>
      <c r="F25" s="20"/>
      <c r="G25" s="20"/>
      <c r="H25" s="20"/>
      <c r="I25" s="20"/>
      <c r="J25" s="20"/>
      <c r="K25" s="20"/>
    </row>
    <row r="26" spans="1:16" x14ac:dyDescent="0.35">
      <c r="A26" s="22" t="s">
        <v>126</v>
      </c>
      <c r="B26" s="22"/>
      <c r="C26" s="22"/>
      <c r="D26" s="22"/>
      <c r="E26" s="20"/>
      <c r="F26" s="20"/>
      <c r="G26" s="20"/>
      <c r="H26" s="20"/>
      <c r="I26" s="20"/>
      <c r="J26" s="20"/>
      <c r="K26" s="20"/>
      <c r="P26" s="19"/>
    </row>
    <row r="27" spans="1:16" x14ac:dyDescent="0.35">
      <c r="A27" s="40" t="s">
        <v>444</v>
      </c>
      <c r="B27" s="25"/>
      <c r="C27" s="67"/>
      <c r="D27" s="67"/>
      <c r="E27" s="21"/>
      <c r="F27" s="21"/>
      <c r="G27" s="21"/>
      <c r="H27" s="21"/>
      <c r="I27" s="21"/>
      <c r="J27" s="21"/>
      <c r="K27" s="21"/>
      <c r="P27" s="19"/>
    </row>
    <row r="28" spans="1:16" x14ac:dyDescent="0.35">
      <c r="A28" s="25" t="str">
        <f>B8</f>
        <v>Double Plough</v>
      </c>
      <c r="B28" s="25"/>
      <c r="C28" s="67">
        <f>H8</f>
        <v>0</v>
      </c>
      <c r="D28" s="67">
        <f>K8</f>
        <v>3000</v>
      </c>
      <c r="E28" s="21">
        <f>$C$28*$D$28*E23</f>
        <v>0</v>
      </c>
      <c r="F28" s="21">
        <f t="shared" ref="F28:K28" si="4">$C$28*$D$28*F23</f>
        <v>0</v>
      </c>
      <c r="G28" s="21">
        <f t="shared" si="4"/>
        <v>0</v>
      </c>
      <c r="H28" s="21">
        <f t="shared" si="4"/>
        <v>0</v>
      </c>
      <c r="I28" s="21">
        <f t="shared" si="4"/>
        <v>0</v>
      </c>
      <c r="J28" s="21">
        <f t="shared" si="4"/>
        <v>0</v>
      </c>
      <c r="K28" s="21">
        <f t="shared" si="4"/>
        <v>0</v>
      </c>
      <c r="P28" s="19"/>
    </row>
    <row r="29" spans="1:16" x14ac:dyDescent="0.35">
      <c r="A29" s="25" t="str">
        <f>B9</f>
        <v>Cultivator</v>
      </c>
      <c r="B29" s="25"/>
      <c r="C29" s="67">
        <f t="shared" ref="C29:C38" si="5">H9</f>
        <v>0</v>
      </c>
      <c r="D29" s="67">
        <f>K9</f>
        <v>1800</v>
      </c>
      <c r="E29" s="21">
        <f>$C$29*$D$29*E23</f>
        <v>0</v>
      </c>
      <c r="F29" s="21">
        <f t="shared" ref="F29:K29" si="6">$C$29*$D$29*F23</f>
        <v>0</v>
      </c>
      <c r="G29" s="21">
        <f t="shared" si="6"/>
        <v>0</v>
      </c>
      <c r="H29" s="21">
        <f t="shared" si="6"/>
        <v>0</v>
      </c>
      <c r="I29" s="21">
        <f t="shared" si="6"/>
        <v>0</v>
      </c>
      <c r="J29" s="21">
        <f t="shared" si="6"/>
        <v>0</v>
      </c>
      <c r="K29" s="21">
        <f t="shared" si="6"/>
        <v>0</v>
      </c>
      <c r="P29" s="19"/>
    </row>
    <row r="30" spans="1:16" x14ac:dyDescent="0.35">
      <c r="A30" s="25" t="str">
        <f>B10</f>
        <v>Rotavator</v>
      </c>
      <c r="B30" s="25"/>
      <c r="C30" s="67">
        <f t="shared" si="5"/>
        <v>0</v>
      </c>
      <c r="D30" s="67">
        <f>K10</f>
        <v>1800</v>
      </c>
      <c r="E30" s="21">
        <f>$C$30*$D$30*E23</f>
        <v>0</v>
      </c>
      <c r="F30" s="21">
        <f t="shared" ref="F30:K30" si="7">$C$30*$D$30*F23</f>
        <v>0</v>
      </c>
      <c r="G30" s="21">
        <f t="shared" si="7"/>
        <v>0</v>
      </c>
      <c r="H30" s="21">
        <f t="shared" si="7"/>
        <v>0</v>
      </c>
      <c r="I30" s="21">
        <f t="shared" si="7"/>
        <v>0</v>
      </c>
      <c r="J30" s="21">
        <f t="shared" si="7"/>
        <v>0</v>
      </c>
      <c r="K30" s="21">
        <f t="shared" si="7"/>
        <v>0</v>
      </c>
      <c r="P30" s="19"/>
    </row>
    <row r="31" spans="1:16" x14ac:dyDescent="0.35">
      <c r="A31" s="25" t="str">
        <f>B11</f>
        <v>BBF Seed Sowing Machine</v>
      </c>
      <c r="B31" s="25"/>
      <c r="C31" s="67">
        <f t="shared" si="5"/>
        <v>0</v>
      </c>
      <c r="D31" s="67">
        <f>K11</f>
        <v>1200</v>
      </c>
      <c r="E31" s="21">
        <f>$C$31*$D$31*E23</f>
        <v>0</v>
      </c>
      <c r="F31" s="21">
        <f t="shared" ref="F31:K31" si="8">$C$31*$D$31*F23</f>
        <v>0</v>
      </c>
      <c r="G31" s="21">
        <f t="shared" si="8"/>
        <v>0</v>
      </c>
      <c r="H31" s="21">
        <f t="shared" si="8"/>
        <v>0</v>
      </c>
      <c r="I31" s="21">
        <f t="shared" si="8"/>
        <v>0</v>
      </c>
      <c r="J31" s="21">
        <f t="shared" si="8"/>
        <v>0</v>
      </c>
      <c r="K31" s="21">
        <f t="shared" si="8"/>
        <v>0</v>
      </c>
      <c r="P31" s="19"/>
    </row>
    <row r="32" spans="1:16" x14ac:dyDescent="0.35">
      <c r="A32" s="25" t="str">
        <f>B12</f>
        <v>Mobile Threshing</v>
      </c>
      <c r="B32" s="25"/>
      <c r="C32" s="67">
        <f t="shared" si="5"/>
        <v>0</v>
      </c>
      <c r="D32" s="67">
        <f>K12</f>
        <v>3000</v>
      </c>
      <c r="E32" s="21">
        <f>$C$32*$D$32*E23</f>
        <v>0</v>
      </c>
      <c r="F32" s="21">
        <f t="shared" ref="F32:K32" si="9">$C$32*$D$32*F23</f>
        <v>0</v>
      </c>
      <c r="G32" s="21">
        <f t="shared" si="9"/>
        <v>0</v>
      </c>
      <c r="H32" s="21">
        <f t="shared" si="9"/>
        <v>0</v>
      </c>
      <c r="I32" s="21">
        <f t="shared" si="9"/>
        <v>0</v>
      </c>
      <c r="J32" s="21">
        <f t="shared" si="9"/>
        <v>0</v>
      </c>
      <c r="K32" s="21">
        <f t="shared" si="9"/>
        <v>0</v>
      </c>
      <c r="P32" s="19"/>
    </row>
    <row r="33" spans="1:16" x14ac:dyDescent="0.35">
      <c r="A33" s="25"/>
      <c r="B33" s="25"/>
      <c r="C33" s="67">
        <f t="shared" si="5"/>
        <v>0</v>
      </c>
      <c r="D33" s="67">
        <f t="shared" ref="D33:D38" si="10">K13</f>
        <v>0</v>
      </c>
      <c r="E33" s="21">
        <f>$C$33*$D$33*E23</f>
        <v>0</v>
      </c>
      <c r="F33" s="21">
        <f t="shared" ref="F33:K33" si="11">$C$33*$D$33*F23</f>
        <v>0</v>
      </c>
      <c r="G33" s="21">
        <f t="shared" si="11"/>
        <v>0</v>
      </c>
      <c r="H33" s="21">
        <f t="shared" si="11"/>
        <v>0</v>
      </c>
      <c r="I33" s="21">
        <f t="shared" si="11"/>
        <v>0</v>
      </c>
      <c r="J33" s="21">
        <f t="shared" si="11"/>
        <v>0</v>
      </c>
      <c r="K33" s="21">
        <f t="shared" si="11"/>
        <v>0</v>
      </c>
      <c r="P33" s="19"/>
    </row>
    <row r="34" spans="1:16" x14ac:dyDescent="0.35">
      <c r="A34" s="25"/>
      <c r="B34" s="25"/>
      <c r="C34" s="67">
        <f t="shared" si="5"/>
        <v>0</v>
      </c>
      <c r="D34" s="67">
        <f t="shared" si="10"/>
        <v>0</v>
      </c>
      <c r="E34" s="21">
        <f>$C$34*$D$34*E23</f>
        <v>0</v>
      </c>
      <c r="F34" s="21">
        <f t="shared" ref="F34:K34" si="12">$C$34*$D$34*F23</f>
        <v>0</v>
      </c>
      <c r="G34" s="21">
        <f t="shared" si="12"/>
        <v>0</v>
      </c>
      <c r="H34" s="21">
        <f t="shared" si="12"/>
        <v>0</v>
      </c>
      <c r="I34" s="21">
        <f t="shared" si="12"/>
        <v>0</v>
      </c>
      <c r="J34" s="21">
        <f t="shared" si="12"/>
        <v>0</v>
      </c>
      <c r="K34" s="21">
        <f t="shared" si="12"/>
        <v>0</v>
      </c>
      <c r="P34" s="19"/>
    </row>
    <row r="35" spans="1:16" x14ac:dyDescent="0.35">
      <c r="A35" s="25"/>
      <c r="B35" s="25"/>
      <c r="C35" s="67">
        <f t="shared" si="5"/>
        <v>0</v>
      </c>
      <c r="D35" s="67">
        <f t="shared" si="10"/>
        <v>0</v>
      </c>
      <c r="E35" s="21">
        <f>$C$35*$D$35*E23</f>
        <v>0</v>
      </c>
      <c r="F35" s="21">
        <f t="shared" ref="F35:K35" si="13">$C$35*$D$35*F23</f>
        <v>0</v>
      </c>
      <c r="G35" s="21">
        <f t="shared" si="13"/>
        <v>0</v>
      </c>
      <c r="H35" s="21">
        <f t="shared" si="13"/>
        <v>0</v>
      </c>
      <c r="I35" s="21">
        <f t="shared" si="13"/>
        <v>0</v>
      </c>
      <c r="J35" s="21">
        <f t="shared" si="13"/>
        <v>0</v>
      </c>
      <c r="K35" s="21">
        <f t="shared" si="13"/>
        <v>0</v>
      </c>
      <c r="P35" s="19"/>
    </row>
    <row r="36" spans="1:16" x14ac:dyDescent="0.35">
      <c r="A36" s="25"/>
      <c r="B36" s="25"/>
      <c r="C36" s="67">
        <f t="shared" si="5"/>
        <v>0</v>
      </c>
      <c r="D36" s="67">
        <f t="shared" si="10"/>
        <v>0</v>
      </c>
      <c r="E36" s="21">
        <f>$C$36*$D$36*E23</f>
        <v>0</v>
      </c>
      <c r="F36" s="21">
        <f t="shared" ref="F36:K36" si="14">$C$36*$D$36*F23</f>
        <v>0</v>
      </c>
      <c r="G36" s="21">
        <f t="shared" si="14"/>
        <v>0</v>
      </c>
      <c r="H36" s="21">
        <f t="shared" si="14"/>
        <v>0</v>
      </c>
      <c r="I36" s="21">
        <f t="shared" si="14"/>
        <v>0</v>
      </c>
      <c r="J36" s="21">
        <f t="shared" si="14"/>
        <v>0</v>
      </c>
      <c r="K36" s="21">
        <f t="shared" si="14"/>
        <v>0</v>
      </c>
      <c r="P36" s="19"/>
    </row>
    <row r="37" spans="1:16" x14ac:dyDescent="0.35">
      <c r="A37" s="25"/>
      <c r="B37" s="25"/>
      <c r="C37" s="67">
        <f t="shared" si="5"/>
        <v>0</v>
      </c>
      <c r="D37" s="67">
        <f t="shared" si="10"/>
        <v>0</v>
      </c>
      <c r="E37" s="21">
        <f>$C$37*$D$37*E23</f>
        <v>0</v>
      </c>
      <c r="F37" s="21">
        <f t="shared" ref="F37:K37" si="15">$C$37*$D$37*F23</f>
        <v>0</v>
      </c>
      <c r="G37" s="21">
        <f t="shared" si="15"/>
        <v>0</v>
      </c>
      <c r="H37" s="21">
        <f t="shared" si="15"/>
        <v>0</v>
      </c>
      <c r="I37" s="21">
        <f t="shared" si="15"/>
        <v>0</v>
      </c>
      <c r="J37" s="21">
        <f t="shared" si="15"/>
        <v>0</v>
      </c>
      <c r="K37" s="21">
        <f t="shared" si="15"/>
        <v>0</v>
      </c>
      <c r="P37" s="19"/>
    </row>
    <row r="38" spans="1:16" x14ac:dyDescent="0.35">
      <c r="A38" s="22"/>
      <c r="B38" s="22"/>
      <c r="C38" s="67">
        <f t="shared" si="5"/>
        <v>0</v>
      </c>
      <c r="D38" s="67">
        <f t="shared" si="10"/>
        <v>0</v>
      </c>
      <c r="E38" s="21">
        <f>$C$38*$D$38*E23</f>
        <v>0</v>
      </c>
      <c r="F38" s="21">
        <f t="shared" ref="F38:K38" si="16">$C$38*$D$38*F23</f>
        <v>0</v>
      </c>
      <c r="G38" s="21">
        <f t="shared" si="16"/>
        <v>0</v>
      </c>
      <c r="H38" s="21">
        <f t="shared" si="16"/>
        <v>0</v>
      </c>
      <c r="I38" s="21">
        <f t="shared" si="16"/>
        <v>0</v>
      </c>
      <c r="J38" s="21">
        <f t="shared" si="16"/>
        <v>0</v>
      </c>
      <c r="K38" s="21">
        <f t="shared" si="16"/>
        <v>0</v>
      </c>
      <c r="P38" s="19"/>
    </row>
    <row r="39" spans="1:16" x14ac:dyDescent="0.35">
      <c r="A39" s="22" t="s">
        <v>141</v>
      </c>
      <c r="B39" s="22"/>
      <c r="C39" s="24"/>
      <c r="D39" s="24"/>
      <c r="E39" s="21">
        <f>SUM(E28:E38)</f>
        <v>0</v>
      </c>
      <c r="F39" s="21">
        <f t="shared" ref="F39:K39" si="17">SUM(F28:F38)</f>
        <v>0</v>
      </c>
      <c r="G39" s="21">
        <f t="shared" si="17"/>
        <v>0</v>
      </c>
      <c r="H39" s="21">
        <f t="shared" si="17"/>
        <v>0</v>
      </c>
      <c r="I39" s="21">
        <f t="shared" si="17"/>
        <v>0</v>
      </c>
      <c r="J39" s="21">
        <f t="shared" si="17"/>
        <v>0</v>
      </c>
      <c r="K39" s="21">
        <f t="shared" si="17"/>
        <v>0</v>
      </c>
      <c r="P39" s="19"/>
    </row>
    <row r="40" spans="1:16" x14ac:dyDescent="0.35">
      <c r="A40" s="20"/>
      <c r="B40" s="20"/>
      <c r="C40" s="23"/>
      <c r="D40" s="23"/>
      <c r="E40" s="21"/>
      <c r="F40" s="21"/>
      <c r="G40" s="21"/>
      <c r="H40" s="21"/>
      <c r="I40" s="21"/>
      <c r="J40" s="21"/>
      <c r="K40" s="21"/>
      <c r="P40" s="19"/>
    </row>
    <row r="41" spans="1:16" x14ac:dyDescent="0.35">
      <c r="A41" s="22" t="s">
        <v>140</v>
      </c>
      <c r="B41" s="22"/>
      <c r="C41" s="24"/>
      <c r="D41" s="24"/>
      <c r="E41" s="21"/>
      <c r="F41" s="21"/>
      <c r="G41" s="21"/>
      <c r="H41" s="21"/>
      <c r="I41" s="21"/>
      <c r="J41" s="21"/>
      <c r="K41" s="21"/>
      <c r="P41" s="19"/>
    </row>
    <row r="42" spans="1:16" x14ac:dyDescent="0.35">
      <c r="A42" s="22" t="s">
        <v>305</v>
      </c>
      <c r="B42" s="22"/>
      <c r="C42" s="24"/>
      <c r="D42" s="24"/>
      <c r="E42" s="21"/>
      <c r="F42" s="21"/>
      <c r="G42" s="21"/>
      <c r="H42" s="21"/>
      <c r="I42" s="21"/>
      <c r="J42" s="21"/>
      <c r="K42" s="21"/>
    </row>
    <row r="43" spans="1:16" x14ac:dyDescent="0.35">
      <c r="A43" s="20" t="s">
        <v>306</v>
      </c>
      <c r="B43" s="20" t="s">
        <v>441</v>
      </c>
      <c r="C43" s="23">
        <f>SUM(J8:J17)</f>
        <v>0</v>
      </c>
      <c r="D43" s="46">
        <v>100</v>
      </c>
      <c r="E43" s="21">
        <f>$C$43*$D$43*E23</f>
        <v>0</v>
      </c>
      <c r="F43" s="21">
        <f t="shared" ref="F43:K43" si="18">$C$43*$D$43*F23</f>
        <v>0</v>
      </c>
      <c r="G43" s="21">
        <f t="shared" si="18"/>
        <v>0</v>
      </c>
      <c r="H43" s="21">
        <f t="shared" si="18"/>
        <v>0</v>
      </c>
      <c r="I43" s="21">
        <f t="shared" si="18"/>
        <v>0</v>
      </c>
      <c r="J43" s="21">
        <f t="shared" si="18"/>
        <v>0</v>
      </c>
      <c r="K43" s="21">
        <f t="shared" si="18"/>
        <v>0</v>
      </c>
    </row>
    <row r="44" spans="1:16" x14ac:dyDescent="0.35">
      <c r="A44" s="20" t="s">
        <v>307</v>
      </c>
      <c r="B44" s="20" t="s">
        <v>443</v>
      </c>
      <c r="C44" s="23">
        <f>SUM(M8:M17)</f>
        <v>0</v>
      </c>
      <c r="D44" s="46">
        <v>300</v>
      </c>
      <c r="E44" s="21">
        <f>$C$44*$D$44*E23</f>
        <v>0</v>
      </c>
      <c r="F44" s="21">
        <f t="shared" ref="F44:K44" si="19">$C$44*$D$44*F23</f>
        <v>0</v>
      </c>
      <c r="G44" s="21">
        <f t="shared" si="19"/>
        <v>0</v>
      </c>
      <c r="H44" s="21">
        <f t="shared" si="19"/>
        <v>0</v>
      </c>
      <c r="I44" s="21">
        <f t="shared" si="19"/>
        <v>0</v>
      </c>
      <c r="J44" s="21">
        <f t="shared" si="19"/>
        <v>0</v>
      </c>
      <c r="K44" s="21">
        <f t="shared" si="19"/>
        <v>0</v>
      </c>
    </row>
    <row r="45" spans="1:16" x14ac:dyDescent="0.35">
      <c r="A45" s="20"/>
      <c r="B45" s="20"/>
      <c r="C45" s="46"/>
      <c r="D45" s="46"/>
      <c r="E45" s="21"/>
      <c r="F45" s="21"/>
      <c r="G45" s="21"/>
      <c r="H45" s="21"/>
      <c r="I45" s="21"/>
      <c r="J45" s="21"/>
      <c r="K45" s="21"/>
    </row>
    <row r="46" spans="1:16" x14ac:dyDescent="0.35">
      <c r="A46" s="20"/>
      <c r="B46" s="20"/>
      <c r="C46" s="46"/>
      <c r="D46" s="46"/>
      <c r="E46" s="21"/>
      <c r="F46" s="21"/>
      <c r="G46" s="21"/>
      <c r="H46" s="21"/>
      <c r="I46" s="21"/>
      <c r="J46" s="21"/>
      <c r="K46" s="21"/>
    </row>
    <row r="47" spans="1:16" x14ac:dyDescent="0.35">
      <c r="A47" s="20"/>
      <c r="B47" s="20"/>
      <c r="C47" s="46"/>
      <c r="D47" s="46"/>
      <c r="E47" s="21"/>
      <c r="F47" s="21"/>
      <c r="G47" s="21"/>
      <c r="H47" s="21"/>
      <c r="I47" s="21"/>
      <c r="J47" s="21"/>
      <c r="K47" s="21"/>
    </row>
    <row r="48" spans="1:16" x14ac:dyDescent="0.35">
      <c r="A48" s="20"/>
      <c r="B48" s="20"/>
      <c r="C48" s="46"/>
      <c r="D48" s="46"/>
      <c r="E48" s="21"/>
      <c r="F48" s="21"/>
      <c r="G48" s="21"/>
      <c r="H48" s="21"/>
      <c r="I48" s="21"/>
      <c r="J48" s="21"/>
      <c r="K48" s="21"/>
    </row>
    <row r="49" spans="1:12" x14ac:dyDescent="0.35">
      <c r="A49" s="22" t="s">
        <v>317</v>
      </c>
      <c r="B49" s="22"/>
      <c r="C49" s="47"/>
      <c r="D49" s="47"/>
      <c r="E49" s="27">
        <f>SUM(E43:E48)</f>
        <v>0</v>
      </c>
      <c r="F49" s="27">
        <f t="shared" ref="F49:K49" si="20">SUM(F43:F48)</f>
        <v>0</v>
      </c>
      <c r="G49" s="27">
        <f t="shared" si="20"/>
        <v>0</v>
      </c>
      <c r="H49" s="27">
        <f t="shared" si="20"/>
        <v>0</v>
      </c>
      <c r="I49" s="27">
        <f t="shared" si="20"/>
        <v>0</v>
      </c>
      <c r="J49" s="27">
        <f t="shared" si="20"/>
        <v>0</v>
      </c>
      <c r="K49" s="27">
        <f t="shared" si="20"/>
        <v>0</v>
      </c>
    </row>
    <row r="50" spans="1:12" x14ac:dyDescent="0.35">
      <c r="A50" s="22"/>
      <c r="B50" s="22"/>
      <c r="C50" s="47"/>
      <c r="D50" s="47"/>
      <c r="E50" s="27"/>
      <c r="F50" s="27"/>
      <c r="G50" s="27"/>
      <c r="H50" s="27"/>
      <c r="I50" s="27"/>
      <c r="J50" s="27"/>
      <c r="K50" s="27"/>
    </row>
    <row r="51" spans="1:12" x14ac:dyDescent="0.35">
      <c r="A51" s="40" t="s">
        <v>308</v>
      </c>
      <c r="B51" s="40"/>
      <c r="C51" s="50"/>
      <c r="D51" s="50"/>
      <c r="E51" s="21"/>
      <c r="F51" s="21"/>
      <c r="G51" s="21"/>
      <c r="H51" s="21"/>
      <c r="I51" s="21"/>
      <c r="J51" s="21"/>
      <c r="K51" s="21"/>
    </row>
    <row r="52" spans="1:12" x14ac:dyDescent="0.35">
      <c r="A52" s="25" t="s">
        <v>309</v>
      </c>
      <c r="B52" s="20" t="s">
        <v>385</v>
      </c>
      <c r="C52" s="50">
        <v>1</v>
      </c>
      <c r="D52" s="51"/>
      <c r="E52" s="21">
        <f t="shared" ref="E52:K52" si="21">$C$52*$D$52*12*E23</f>
        <v>0</v>
      </c>
      <c r="F52" s="21">
        <f t="shared" si="21"/>
        <v>0</v>
      </c>
      <c r="G52" s="21">
        <f t="shared" si="21"/>
        <v>0</v>
      </c>
      <c r="H52" s="21">
        <f t="shared" si="21"/>
        <v>0</v>
      </c>
      <c r="I52" s="21">
        <f t="shared" si="21"/>
        <v>0</v>
      </c>
      <c r="J52" s="21">
        <f t="shared" si="21"/>
        <v>0</v>
      </c>
      <c r="K52" s="21">
        <f t="shared" si="21"/>
        <v>0</v>
      </c>
    </row>
    <row r="53" spans="1:12" x14ac:dyDescent="0.35">
      <c r="A53" s="25"/>
      <c r="B53" s="25"/>
      <c r="C53" s="50"/>
      <c r="D53" s="51"/>
      <c r="E53" s="21"/>
      <c r="F53" s="21"/>
      <c r="G53" s="21"/>
      <c r="H53" s="21"/>
      <c r="I53" s="21"/>
      <c r="J53" s="21"/>
      <c r="K53" s="21"/>
    </row>
    <row r="54" spans="1:12" x14ac:dyDescent="0.35">
      <c r="A54" s="25"/>
      <c r="B54" s="25"/>
      <c r="C54" s="50"/>
      <c r="D54" s="51"/>
      <c r="E54" s="21"/>
      <c r="F54" s="21"/>
      <c r="G54" s="21"/>
      <c r="H54" s="21"/>
      <c r="I54" s="21"/>
      <c r="J54" s="21"/>
      <c r="K54" s="21"/>
    </row>
    <row r="55" spans="1:12" x14ac:dyDescent="0.35">
      <c r="A55" s="25"/>
      <c r="B55" s="25"/>
      <c r="C55" s="50"/>
      <c r="D55" s="51"/>
      <c r="E55" s="21"/>
      <c r="F55" s="21"/>
      <c r="G55" s="21"/>
      <c r="H55" s="21"/>
      <c r="I55" s="21"/>
      <c r="J55" s="21"/>
      <c r="K55" s="21"/>
    </row>
    <row r="56" spans="1:12" x14ac:dyDescent="0.35">
      <c r="A56" s="22" t="s">
        <v>320</v>
      </c>
      <c r="B56" s="22"/>
      <c r="C56" s="22"/>
      <c r="D56" s="22"/>
      <c r="E56" s="27">
        <f>SUM(E52:E55)</f>
        <v>0</v>
      </c>
      <c r="F56" s="27">
        <f t="shared" ref="F56:K56" si="22">SUM(F52:F55)</f>
        <v>0</v>
      </c>
      <c r="G56" s="27">
        <f t="shared" si="22"/>
        <v>0</v>
      </c>
      <c r="H56" s="27">
        <f t="shared" si="22"/>
        <v>0</v>
      </c>
      <c r="I56" s="27">
        <f t="shared" si="22"/>
        <v>0</v>
      </c>
      <c r="J56" s="27">
        <f t="shared" si="22"/>
        <v>0</v>
      </c>
      <c r="K56" s="27">
        <f t="shared" si="22"/>
        <v>0</v>
      </c>
    </row>
    <row r="57" spans="1:12" x14ac:dyDescent="0.35">
      <c r="A57" s="22" t="s">
        <v>128</v>
      </c>
      <c r="B57" s="22"/>
      <c r="C57" s="22"/>
      <c r="D57" s="22"/>
      <c r="E57" s="27">
        <f>E49+E56</f>
        <v>0</v>
      </c>
      <c r="F57" s="27">
        <f t="shared" ref="F57:K57" si="23">F49+F56</f>
        <v>0</v>
      </c>
      <c r="G57" s="27">
        <f t="shared" si="23"/>
        <v>0</v>
      </c>
      <c r="H57" s="27">
        <f t="shared" si="23"/>
        <v>0</v>
      </c>
      <c r="I57" s="27">
        <f t="shared" si="23"/>
        <v>0</v>
      </c>
      <c r="J57" s="27">
        <f t="shared" si="23"/>
        <v>0</v>
      </c>
      <c r="K57" s="27">
        <f t="shared" si="23"/>
        <v>0</v>
      </c>
    </row>
    <row r="58" spans="1:12" x14ac:dyDescent="0.35">
      <c r="A58" s="20"/>
      <c r="B58" s="20"/>
      <c r="C58" s="20"/>
      <c r="D58" s="20"/>
      <c r="E58" s="21"/>
      <c r="F58" s="21"/>
      <c r="G58" s="21"/>
      <c r="H58" s="21"/>
      <c r="I58" s="21"/>
      <c r="J58" s="21"/>
      <c r="K58" s="21"/>
    </row>
    <row r="59" spans="1:12" x14ac:dyDescent="0.35">
      <c r="A59" s="22" t="s">
        <v>311</v>
      </c>
      <c r="B59" s="22"/>
      <c r="C59" s="22"/>
      <c r="D59" s="22"/>
      <c r="E59" s="27">
        <f t="shared" ref="E59:K59" si="24">E39-E57</f>
        <v>0</v>
      </c>
      <c r="F59" s="27">
        <f t="shared" si="24"/>
        <v>0</v>
      </c>
      <c r="G59" s="27">
        <f t="shared" si="24"/>
        <v>0</v>
      </c>
      <c r="H59" s="27">
        <f t="shared" si="24"/>
        <v>0</v>
      </c>
      <c r="I59" s="27">
        <f t="shared" si="24"/>
        <v>0</v>
      </c>
      <c r="J59" s="27">
        <f t="shared" si="24"/>
        <v>0</v>
      </c>
      <c r="K59" s="27">
        <f t="shared" si="24"/>
        <v>0</v>
      </c>
    </row>
    <row r="60" spans="1:12" x14ac:dyDescent="0.35">
      <c r="A60" s="53"/>
      <c r="B60" s="53"/>
      <c r="C60" s="53"/>
      <c r="D60" s="53"/>
      <c r="E60" s="54"/>
      <c r="F60" s="54"/>
      <c r="G60" s="54"/>
      <c r="H60" s="54"/>
      <c r="I60" s="54"/>
      <c r="J60" s="54"/>
      <c r="K60" s="54"/>
    </row>
    <row r="61" spans="1:12" x14ac:dyDescent="0.35">
      <c r="A61" s="19"/>
      <c r="B61" s="19"/>
      <c r="C61" s="53"/>
      <c r="D61" s="53"/>
      <c r="E61" s="54"/>
      <c r="F61" s="54"/>
      <c r="G61" s="54"/>
      <c r="H61" s="54"/>
      <c r="I61" s="54"/>
      <c r="J61" s="54"/>
      <c r="K61" s="54"/>
    </row>
    <row r="62" spans="1:12" x14ac:dyDescent="0.35">
      <c r="A62" s="496" t="s">
        <v>416</v>
      </c>
      <c r="B62" s="496"/>
      <c r="C62" s="496"/>
      <c r="D62" s="496"/>
      <c r="E62" s="496"/>
      <c r="F62" s="496"/>
      <c r="G62" s="496"/>
      <c r="H62" s="496"/>
      <c r="I62" s="496"/>
      <c r="J62" s="496"/>
      <c r="K62" s="496"/>
      <c r="L62" s="496"/>
    </row>
    <row r="65" spans="1:2" x14ac:dyDescent="0.35">
      <c r="A65" t="s">
        <v>531</v>
      </c>
    </row>
    <row r="66" spans="1:2" x14ac:dyDescent="0.35">
      <c r="A66">
        <v>1</v>
      </c>
      <c r="B66" t="s">
        <v>542</v>
      </c>
    </row>
    <row r="67" spans="1:2" x14ac:dyDescent="0.35">
      <c r="A67">
        <v>2</v>
      </c>
      <c r="B67" t="s">
        <v>543</v>
      </c>
    </row>
    <row r="68" spans="1:2" x14ac:dyDescent="0.35">
      <c r="A68">
        <v>3</v>
      </c>
      <c r="B68" s="19" t="s">
        <v>582</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83" zoomScale="80" zoomScaleSheetLayoutView="80" workbookViewId="0">
      <selection activeCell="C20" sqref="C20"/>
    </sheetView>
  </sheetViews>
  <sheetFormatPr defaultRowHeight="14.5" x14ac:dyDescent="0.35"/>
  <cols>
    <col min="1" max="1" width="41.1796875" bestFit="1" customWidth="1"/>
    <col min="2" max="2" width="4.453125" bestFit="1" customWidth="1"/>
    <col min="3" max="3" width="13.1796875"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x14ac:dyDescent="0.35">
      <c r="A2" s="477" t="s">
        <v>575</v>
      </c>
      <c r="B2" s="477"/>
      <c r="C2" s="477"/>
      <c r="D2" s="477"/>
      <c r="E2" s="477"/>
      <c r="F2" s="477"/>
      <c r="G2" s="477"/>
      <c r="H2" s="477"/>
      <c r="I2" s="477"/>
    </row>
    <row r="4" spans="1:9" x14ac:dyDescent="0.35">
      <c r="A4" s="19"/>
      <c r="B4" s="19"/>
      <c r="C4" s="19"/>
      <c r="D4" s="19"/>
      <c r="E4" s="19"/>
      <c r="F4" s="19"/>
      <c r="G4" s="19"/>
      <c r="H4" s="19"/>
      <c r="I4" s="19"/>
    </row>
    <row r="5" spans="1:9" x14ac:dyDescent="0.35">
      <c r="A5" s="19"/>
      <c r="B5" s="19"/>
      <c r="C5" s="19"/>
      <c r="D5" s="19"/>
      <c r="E5" s="19"/>
      <c r="F5" s="19"/>
      <c r="G5" s="19"/>
      <c r="H5" s="19"/>
      <c r="I5" s="19"/>
    </row>
    <row r="6" spans="1:9" x14ac:dyDescent="0.35">
      <c r="A6" s="30" t="s">
        <v>127</v>
      </c>
      <c r="B6" s="30"/>
      <c r="C6" s="29" t="s">
        <v>2</v>
      </c>
      <c r="D6" s="29" t="s">
        <v>3</v>
      </c>
      <c r="E6" s="29" t="s">
        <v>4</v>
      </c>
      <c r="F6" s="29" t="s">
        <v>5</v>
      </c>
      <c r="G6" s="29" t="s">
        <v>6</v>
      </c>
      <c r="H6" s="29" t="s">
        <v>165</v>
      </c>
      <c r="I6" s="29" t="s">
        <v>164</v>
      </c>
    </row>
    <row r="7" spans="1:9" x14ac:dyDescent="0.35">
      <c r="A7" s="24" t="s">
        <v>544</v>
      </c>
      <c r="B7" s="23"/>
      <c r="C7" s="23"/>
      <c r="D7" s="23"/>
      <c r="E7" s="23"/>
      <c r="F7" s="23"/>
      <c r="G7" s="23"/>
      <c r="H7" s="23"/>
      <c r="I7" s="23"/>
    </row>
    <row r="8" spans="1:9" x14ac:dyDescent="0.35">
      <c r="A8" s="24" t="s">
        <v>174</v>
      </c>
      <c r="B8" s="41"/>
      <c r="C8" s="41"/>
      <c r="D8" s="41"/>
      <c r="E8" s="41"/>
      <c r="F8" s="41"/>
      <c r="G8" s="41"/>
      <c r="H8" s="41"/>
      <c r="I8" s="41"/>
    </row>
    <row r="9" spans="1:9" x14ac:dyDescent="0.35">
      <c r="A9" s="23" t="str">
        <f>'10.Grain Production details'!A92</f>
        <v>Soybean</v>
      </c>
      <c r="B9" s="41"/>
      <c r="C9" s="41">
        <f>'10.Grain Production details'!B92</f>
        <v>3.7462500000000004E-34</v>
      </c>
      <c r="D9" s="41">
        <f>'10.Grain Production details'!C92</f>
        <v>3.7462499999999995E-8</v>
      </c>
      <c r="E9" s="41">
        <f>'10.Grain Production details'!D92</f>
        <v>3.7462499999999995E-8</v>
      </c>
      <c r="F9" s="41">
        <f>'10.Grain Production details'!E92</f>
        <v>3.7462499999999995E-8</v>
      </c>
      <c r="G9" s="41">
        <f>'10.Grain Production details'!F92</f>
        <v>3.7462499999999995E-8</v>
      </c>
      <c r="H9" s="41">
        <f>'10.Grain Production details'!G92</f>
        <v>3.7462499999999995E-8</v>
      </c>
      <c r="I9" s="41">
        <f>'10.Grain Production details'!H92</f>
        <v>3.7462499999999995E-8</v>
      </c>
    </row>
    <row r="10" spans="1:9" x14ac:dyDescent="0.35">
      <c r="A10" s="23" t="str">
        <f>'10.Grain Production details'!A93</f>
        <v>Tur</v>
      </c>
      <c r="B10" s="41"/>
      <c r="C10" s="41">
        <f>'10.Grain Production details'!B93</f>
        <v>4.9950000000000006E-35</v>
      </c>
      <c r="D10" s="41">
        <f>'10.Grain Production details'!C93</f>
        <v>4.9949999999999994E-9</v>
      </c>
      <c r="E10" s="41">
        <f>'10.Grain Production details'!D93</f>
        <v>4.9949999999999994E-9</v>
      </c>
      <c r="F10" s="41">
        <f>'10.Grain Production details'!E93</f>
        <v>4.9949999999999994E-9</v>
      </c>
      <c r="G10" s="41">
        <f>'10.Grain Production details'!F93</f>
        <v>4.9949999999999994E-9</v>
      </c>
      <c r="H10" s="41">
        <f>'10.Grain Production details'!G93</f>
        <v>4.9949999999999994E-9</v>
      </c>
      <c r="I10" s="41">
        <f>'10.Grain Production details'!H93</f>
        <v>4.9949999999999994E-9</v>
      </c>
    </row>
    <row r="11" spans="1:9" x14ac:dyDescent="0.35">
      <c r="A11" s="23" t="str">
        <f>'10.Grain Production details'!A94</f>
        <v>Turmeric</v>
      </c>
      <c r="B11" s="41"/>
      <c r="C11" s="41">
        <f>'10.Grain Production details'!B94</f>
        <v>0</v>
      </c>
      <c r="D11" s="41">
        <f>'10.Grain Production details'!C94</f>
        <v>0</v>
      </c>
      <c r="E11" s="41">
        <f>'10.Grain Production details'!D94</f>
        <v>0</v>
      </c>
      <c r="F11" s="41">
        <f>'10.Grain Production details'!E94</f>
        <v>0</v>
      </c>
      <c r="G11" s="41">
        <f>'10.Grain Production details'!F94</f>
        <v>0</v>
      </c>
      <c r="H11" s="41">
        <f>'10.Grain Production details'!G94</f>
        <v>0</v>
      </c>
      <c r="I11" s="41">
        <f>'10.Grain Production details'!H94</f>
        <v>0</v>
      </c>
    </row>
    <row r="12" spans="1:9" x14ac:dyDescent="0.35">
      <c r="A12" s="23" t="str">
        <f>'10.Grain Production details'!A95</f>
        <v>Moong</v>
      </c>
      <c r="B12" s="41"/>
      <c r="C12" s="41">
        <f>'10.Grain Production details'!B95</f>
        <v>2.4975000000000003E-35</v>
      </c>
      <c r="D12" s="41">
        <f>'10.Grain Production details'!C95</f>
        <v>2.4974999999999997E-9</v>
      </c>
      <c r="E12" s="41">
        <f>'10.Grain Production details'!D95</f>
        <v>2.4974999999999997E-9</v>
      </c>
      <c r="F12" s="41">
        <f>'10.Grain Production details'!E95</f>
        <v>2.4974999999999997E-9</v>
      </c>
      <c r="G12" s="41">
        <f>'10.Grain Production details'!F95</f>
        <v>2.4974999999999997E-9</v>
      </c>
      <c r="H12" s="41">
        <f>'10.Grain Production details'!G95</f>
        <v>2.4974999999999997E-9</v>
      </c>
      <c r="I12" s="41">
        <f>'10.Grain Production details'!H95</f>
        <v>2.4974999999999997E-9</v>
      </c>
    </row>
    <row r="13" spans="1:9" x14ac:dyDescent="0.35">
      <c r="A13" s="23" t="str">
        <f>'10.Grain Production details'!A96</f>
        <v>Maize</v>
      </c>
      <c r="B13" s="41"/>
      <c r="C13" s="41">
        <f>'10.Grain Production details'!B96</f>
        <v>0</v>
      </c>
      <c r="D13" s="41">
        <f>'10.Grain Production details'!C96</f>
        <v>0</v>
      </c>
      <c r="E13" s="41">
        <f>'10.Grain Production details'!D96</f>
        <v>0</v>
      </c>
      <c r="F13" s="41">
        <f>'10.Grain Production details'!E96</f>
        <v>0</v>
      </c>
      <c r="G13" s="41">
        <f>'10.Grain Production details'!F96</f>
        <v>0</v>
      </c>
      <c r="H13" s="41">
        <f>'10.Grain Production details'!G96</f>
        <v>0</v>
      </c>
      <c r="I13" s="41">
        <f>'10.Grain Production details'!H96</f>
        <v>0</v>
      </c>
    </row>
    <row r="14" spans="1:9" x14ac:dyDescent="0.35">
      <c r="A14" s="23" t="str">
        <f>'10.Grain Production details'!A97</f>
        <v>Udid</v>
      </c>
      <c r="B14" s="41"/>
      <c r="C14" s="41">
        <f>'10.Grain Production details'!B97</f>
        <v>2.4975000000000003E-35</v>
      </c>
      <c r="D14" s="41">
        <f>'10.Grain Production details'!C97</f>
        <v>2.4974999999999997E-9</v>
      </c>
      <c r="E14" s="41">
        <f>'10.Grain Production details'!D97</f>
        <v>2.4974999999999997E-9</v>
      </c>
      <c r="F14" s="41">
        <f>'10.Grain Production details'!E97</f>
        <v>2.4974999999999997E-9</v>
      </c>
      <c r="G14" s="41">
        <f>'10.Grain Production details'!F97</f>
        <v>2.4974999999999997E-9</v>
      </c>
      <c r="H14" s="41">
        <f>'10.Grain Production details'!G97</f>
        <v>2.4974999999999997E-9</v>
      </c>
      <c r="I14" s="41">
        <f>'10.Grain Production details'!H97</f>
        <v>2.4974999999999997E-9</v>
      </c>
    </row>
    <row r="15" spans="1:9" x14ac:dyDescent="0.35">
      <c r="A15" s="23" t="str">
        <f>'10.Grain Production details'!A98</f>
        <v>Bajra</v>
      </c>
      <c r="B15" s="41"/>
      <c r="C15" s="41">
        <f>'10.Grain Production details'!B98</f>
        <v>0</v>
      </c>
      <c r="D15" s="41">
        <f>'10.Grain Production details'!C98</f>
        <v>0</v>
      </c>
      <c r="E15" s="41">
        <f>'10.Grain Production details'!D98</f>
        <v>0</v>
      </c>
      <c r="F15" s="41">
        <f>'10.Grain Production details'!E98</f>
        <v>0</v>
      </c>
      <c r="G15" s="41">
        <f>'10.Grain Production details'!F98</f>
        <v>0</v>
      </c>
      <c r="H15" s="41">
        <f>'10.Grain Production details'!G98</f>
        <v>0</v>
      </c>
      <c r="I15" s="41">
        <f>'10.Grain Production details'!H98</f>
        <v>0</v>
      </c>
    </row>
    <row r="16" spans="1:9" x14ac:dyDescent="0.35">
      <c r="A16" s="23" t="str">
        <f>'10.Grain Production details'!A99</f>
        <v>Jawar</v>
      </c>
      <c r="B16" s="41"/>
      <c r="C16" s="41">
        <f>'10.Grain Production details'!B99</f>
        <v>2.4975000000000003E-35</v>
      </c>
      <c r="D16" s="41">
        <f>'10.Grain Production details'!C99</f>
        <v>2.4974999999999997E-9</v>
      </c>
      <c r="E16" s="41">
        <f>'10.Grain Production details'!D99</f>
        <v>2.4974999999999997E-9</v>
      </c>
      <c r="F16" s="41">
        <f>'10.Grain Production details'!E99</f>
        <v>2.4974999999999997E-9</v>
      </c>
      <c r="G16" s="41">
        <f>'10.Grain Production details'!F99</f>
        <v>2.4974999999999997E-9</v>
      </c>
      <c r="H16" s="41">
        <f>'10.Grain Production details'!G99</f>
        <v>2.4974999999999997E-9</v>
      </c>
      <c r="I16" s="41">
        <f>'10.Grain Production details'!H99</f>
        <v>2.4974999999999997E-9</v>
      </c>
    </row>
    <row r="17" spans="1:9" x14ac:dyDescent="0.35">
      <c r="A17" s="24" t="s">
        <v>178</v>
      </c>
      <c r="B17" s="41"/>
      <c r="C17" s="41"/>
      <c r="D17" s="41"/>
      <c r="E17" s="41"/>
      <c r="F17" s="41"/>
      <c r="G17" s="41"/>
      <c r="H17" s="41"/>
      <c r="I17" s="41"/>
    </row>
    <row r="18" spans="1:9" x14ac:dyDescent="0.35">
      <c r="A18" s="23" t="str">
        <f>'10.Grain Production details'!A101</f>
        <v>Wheat</v>
      </c>
      <c r="B18" s="41"/>
      <c r="C18" s="41">
        <f>'10.Grain Production details'!B101</f>
        <v>4.4955000000000006E-35</v>
      </c>
      <c r="D18" s="41">
        <f>'10.Grain Production details'!C101</f>
        <v>4.4954999999999996E-9</v>
      </c>
      <c r="E18" s="41">
        <f>'10.Grain Production details'!D101</f>
        <v>4.4954999999999996E-9</v>
      </c>
      <c r="F18" s="41">
        <f>'10.Grain Production details'!E101</f>
        <v>4.4954999999999996E-9</v>
      </c>
      <c r="G18" s="41">
        <f>'10.Grain Production details'!F101</f>
        <v>4.4954999999999996E-9</v>
      </c>
      <c r="H18" s="41">
        <f>'10.Grain Production details'!G101</f>
        <v>4.4954999999999996E-9</v>
      </c>
      <c r="I18" s="41">
        <f>'10.Grain Production details'!H101</f>
        <v>4.4954999999999996E-9</v>
      </c>
    </row>
    <row r="19" spans="1:9" x14ac:dyDescent="0.35">
      <c r="A19" s="23" t="str">
        <f>'10.Grain Production details'!A102</f>
        <v>Channa</v>
      </c>
      <c r="B19" s="41"/>
      <c r="C19" s="41">
        <f>'10.Grain Production details'!B102</f>
        <v>2.0979000000000004E-34</v>
      </c>
      <c r="D19" s="41">
        <f>'10.Grain Production details'!C102</f>
        <v>2.0978999999999999E-8</v>
      </c>
      <c r="E19" s="41">
        <f>'10.Grain Production details'!D102</f>
        <v>2.0978999999999999E-8</v>
      </c>
      <c r="F19" s="41">
        <f>'10.Grain Production details'!E102</f>
        <v>2.0978999999999999E-8</v>
      </c>
      <c r="G19" s="41">
        <f>'10.Grain Production details'!F102</f>
        <v>2.0978999999999999E-8</v>
      </c>
      <c r="H19" s="41">
        <f>'10.Grain Production details'!G102</f>
        <v>2.0978999999999999E-8</v>
      </c>
      <c r="I19" s="41">
        <f>'10.Grain Production details'!H102</f>
        <v>2.0978999999999999E-8</v>
      </c>
    </row>
    <row r="20" spans="1:9" x14ac:dyDescent="0.35">
      <c r="A20" s="23" t="str">
        <f>'10.Grain Production details'!A103</f>
        <v>Jawar</v>
      </c>
      <c r="B20" s="41"/>
      <c r="C20" s="41">
        <f>'10.Grain Production details'!B103</f>
        <v>2.9970000000000002E-35</v>
      </c>
      <c r="D20" s="41">
        <f>'10.Grain Production details'!C103</f>
        <v>2.9969999999999999E-9</v>
      </c>
      <c r="E20" s="41">
        <f>'10.Grain Production details'!D103</f>
        <v>2.9969999999999999E-9</v>
      </c>
      <c r="F20" s="41">
        <f>'10.Grain Production details'!E103</f>
        <v>2.9969999999999999E-9</v>
      </c>
      <c r="G20" s="41">
        <f>'10.Grain Production details'!F103</f>
        <v>2.9969999999999999E-9</v>
      </c>
      <c r="H20" s="41">
        <f>'10.Grain Production details'!G103</f>
        <v>2.9969999999999999E-9</v>
      </c>
      <c r="I20" s="41">
        <f>'10.Grain Production details'!H103</f>
        <v>2.9969999999999999E-9</v>
      </c>
    </row>
    <row r="21" spans="1:9" x14ac:dyDescent="0.35">
      <c r="A21" s="23" t="str">
        <f>'10.Grain Production details'!A104</f>
        <v>Maize</v>
      </c>
      <c r="B21" s="41"/>
      <c r="C21" s="41">
        <f>'10.Grain Production details'!B104</f>
        <v>0</v>
      </c>
      <c r="D21" s="41">
        <f>'10.Grain Production details'!C104</f>
        <v>0</v>
      </c>
      <c r="E21" s="41">
        <f>'10.Grain Production details'!D104</f>
        <v>0</v>
      </c>
      <c r="F21" s="41">
        <f>'10.Grain Production details'!E104</f>
        <v>0</v>
      </c>
      <c r="G21" s="41">
        <f>'10.Grain Production details'!F104</f>
        <v>0</v>
      </c>
      <c r="H21" s="41">
        <f>'10.Grain Production details'!G104</f>
        <v>0</v>
      </c>
      <c r="I21" s="41">
        <f>'10.Grain Production details'!H104</f>
        <v>0</v>
      </c>
    </row>
    <row r="22" spans="1:9" x14ac:dyDescent="0.35">
      <c r="A22" s="23" t="str">
        <f>'10.Grain Production details'!A105</f>
        <v>Safflower</v>
      </c>
      <c r="B22" s="41"/>
      <c r="C22" s="41">
        <f>'10.Grain Production details'!B105</f>
        <v>0</v>
      </c>
      <c r="D22" s="41">
        <f>'10.Grain Production details'!C105</f>
        <v>0</v>
      </c>
      <c r="E22" s="41">
        <f>'10.Grain Production details'!D105</f>
        <v>0</v>
      </c>
      <c r="F22" s="41">
        <f>'10.Grain Production details'!E105</f>
        <v>0</v>
      </c>
      <c r="G22" s="41">
        <f>'10.Grain Production details'!F105</f>
        <v>0</v>
      </c>
      <c r="H22" s="41">
        <f>'10.Grain Production details'!G105</f>
        <v>0</v>
      </c>
      <c r="I22" s="41">
        <f>'10.Grain Production details'!H105</f>
        <v>0</v>
      </c>
    </row>
    <row r="23" spans="1:9" x14ac:dyDescent="0.35">
      <c r="A23" s="23" t="str">
        <f>'10.Grain Production details'!A106</f>
        <v>Groundnut</v>
      </c>
      <c r="B23" s="41"/>
      <c r="C23" s="41">
        <f>'10.Grain Production details'!B106</f>
        <v>0</v>
      </c>
      <c r="D23" s="41">
        <f>'10.Grain Production details'!C106</f>
        <v>0</v>
      </c>
      <c r="E23" s="41">
        <f>'10.Grain Production details'!D106</f>
        <v>0</v>
      </c>
      <c r="F23" s="41">
        <f>'10.Grain Production details'!E106</f>
        <v>0</v>
      </c>
      <c r="G23" s="41">
        <f>'10.Grain Production details'!F106</f>
        <v>0</v>
      </c>
      <c r="H23" s="41">
        <f>'10.Grain Production details'!G106</f>
        <v>0</v>
      </c>
      <c r="I23" s="41">
        <f>'10.Grain Production details'!H106</f>
        <v>0</v>
      </c>
    </row>
    <row r="24" spans="1:9" x14ac:dyDescent="0.35">
      <c r="A24" s="23">
        <f>'10.Grain Production details'!A107</f>
        <v>0</v>
      </c>
      <c r="B24" s="41"/>
      <c r="C24" s="41">
        <f>'10.Grain Production details'!B107</f>
        <v>0</v>
      </c>
      <c r="D24" s="41">
        <f>'10.Grain Production details'!C107</f>
        <v>0</v>
      </c>
      <c r="E24" s="41">
        <f>'10.Grain Production details'!D107</f>
        <v>0</v>
      </c>
      <c r="F24" s="41">
        <f>'10.Grain Production details'!E107</f>
        <v>0</v>
      </c>
      <c r="G24" s="41">
        <f>'10.Grain Production details'!F107</f>
        <v>0</v>
      </c>
      <c r="H24" s="41">
        <f>'10.Grain Production details'!G107</f>
        <v>0</v>
      </c>
      <c r="I24" s="41">
        <f>'10.Grain Production details'!H107</f>
        <v>0</v>
      </c>
    </row>
    <row r="25" spans="1:9" x14ac:dyDescent="0.35">
      <c r="A25" s="23">
        <f>'10.Grain Production details'!A108</f>
        <v>0</v>
      </c>
      <c r="B25" s="41"/>
      <c r="C25" s="41">
        <f>'10.Grain Production details'!B108</f>
        <v>0</v>
      </c>
      <c r="D25" s="41">
        <f>'10.Grain Production details'!C108</f>
        <v>0</v>
      </c>
      <c r="E25" s="41">
        <f>'10.Grain Production details'!D108</f>
        <v>0</v>
      </c>
      <c r="F25" s="41">
        <f>'10.Grain Production details'!E108</f>
        <v>0</v>
      </c>
      <c r="G25" s="41">
        <f>'10.Grain Production details'!F108</f>
        <v>0</v>
      </c>
      <c r="H25" s="41">
        <f>'10.Grain Production details'!G108</f>
        <v>0</v>
      </c>
      <c r="I25" s="41">
        <f>'10.Grain Production details'!H108</f>
        <v>0</v>
      </c>
    </row>
    <row r="26" spans="1:9" x14ac:dyDescent="0.35">
      <c r="A26" s="24" t="str">
        <f>'10.Grain Production details'!A33</f>
        <v>Summer</v>
      </c>
      <c r="B26" s="41"/>
      <c r="C26" s="41"/>
      <c r="D26" s="41"/>
      <c r="E26" s="41"/>
      <c r="F26" s="41"/>
      <c r="G26" s="41"/>
      <c r="H26" s="41"/>
      <c r="I26" s="41"/>
    </row>
    <row r="27" spans="1:9" x14ac:dyDescent="0.35">
      <c r="A27" s="23" t="str">
        <f>'10.Grain Production details'!A109</f>
        <v>Soybean</v>
      </c>
      <c r="B27" s="41"/>
      <c r="C27" s="41">
        <f>'10.Grain Production details'!B110</f>
        <v>0</v>
      </c>
      <c r="D27" s="41">
        <f>'10.Grain Production details'!C110</f>
        <v>0</v>
      </c>
      <c r="E27" s="41">
        <f>'10.Grain Production details'!D110</f>
        <v>0</v>
      </c>
      <c r="F27" s="41">
        <f>'10.Grain Production details'!E110</f>
        <v>0</v>
      </c>
      <c r="G27" s="41">
        <f>'10.Grain Production details'!F110</f>
        <v>0</v>
      </c>
      <c r="H27" s="41">
        <f>'10.Grain Production details'!G110</f>
        <v>0</v>
      </c>
      <c r="I27" s="41">
        <f>'10.Grain Production details'!H110</f>
        <v>0</v>
      </c>
    </row>
    <row r="28" spans="1:9" x14ac:dyDescent="0.35">
      <c r="A28" s="23">
        <f>'10.Grain Production details'!A110</f>
        <v>0</v>
      </c>
      <c r="B28" s="41"/>
      <c r="C28" s="41">
        <f>'10.Grain Production details'!B111</f>
        <v>0</v>
      </c>
      <c r="D28" s="41">
        <f>'10.Grain Production details'!C111</f>
        <v>0</v>
      </c>
      <c r="E28" s="41">
        <f>'10.Grain Production details'!D111</f>
        <v>0</v>
      </c>
      <c r="F28" s="41">
        <f>'10.Grain Production details'!E111</f>
        <v>0</v>
      </c>
      <c r="G28" s="41">
        <f>'10.Grain Production details'!F111</f>
        <v>0</v>
      </c>
      <c r="H28" s="41">
        <f>'10.Grain Production details'!G111</f>
        <v>0</v>
      </c>
      <c r="I28" s="41">
        <f>'10.Grain Production details'!H111</f>
        <v>0</v>
      </c>
    </row>
    <row r="29" spans="1:9" x14ac:dyDescent="0.35">
      <c r="A29" s="23">
        <f>'10.Grain Production details'!A111</f>
        <v>0</v>
      </c>
      <c r="B29" s="41"/>
      <c r="C29" s="41">
        <f>'10.Grain Production details'!B112</f>
        <v>0</v>
      </c>
      <c r="D29" s="41">
        <f>'10.Grain Production details'!C112</f>
        <v>0</v>
      </c>
      <c r="E29" s="41">
        <f>'10.Grain Production details'!D112</f>
        <v>0</v>
      </c>
      <c r="F29" s="41">
        <f>'10.Grain Production details'!E112</f>
        <v>0</v>
      </c>
      <c r="G29" s="41">
        <f>'10.Grain Production details'!F112</f>
        <v>0</v>
      </c>
      <c r="H29" s="41">
        <f>'10.Grain Production details'!G112</f>
        <v>0</v>
      </c>
      <c r="I29" s="41">
        <f>'10.Grain Production details'!H112</f>
        <v>0</v>
      </c>
    </row>
    <row r="30" spans="1:9" x14ac:dyDescent="0.35">
      <c r="A30" s="23">
        <f>'10.Grain Production details'!A112</f>
        <v>0</v>
      </c>
      <c r="B30" s="41"/>
      <c r="C30" s="41">
        <f>'10.Grain Production details'!B113</f>
        <v>0</v>
      </c>
      <c r="D30" s="41">
        <f>'10.Grain Production details'!C113</f>
        <v>0</v>
      </c>
      <c r="E30" s="41">
        <f>'10.Grain Production details'!D113</f>
        <v>0</v>
      </c>
      <c r="F30" s="41">
        <f>'10.Grain Production details'!E113</f>
        <v>0</v>
      </c>
      <c r="G30" s="41">
        <f>'10.Grain Production details'!F113</f>
        <v>0</v>
      </c>
      <c r="H30" s="41">
        <f>'10.Grain Production details'!G113</f>
        <v>0</v>
      </c>
      <c r="I30" s="41">
        <f>'10.Grain Production details'!H113</f>
        <v>0</v>
      </c>
    </row>
    <row r="31" spans="1:9" x14ac:dyDescent="0.35">
      <c r="A31" s="23">
        <f>'10.Grain Production details'!A113</f>
        <v>0</v>
      </c>
      <c r="B31" s="41"/>
      <c r="C31" s="41">
        <f>'10.Grain Production details'!C114</f>
        <v>0</v>
      </c>
      <c r="D31" s="41">
        <f>'10.Grain Production details'!D114</f>
        <v>0</v>
      </c>
      <c r="E31" s="41">
        <f>'10.Grain Production details'!E114</f>
        <v>0</v>
      </c>
      <c r="F31" s="41">
        <f>'10.Grain Production details'!F114</f>
        <v>0</v>
      </c>
      <c r="G31" s="41">
        <f>'10.Grain Production details'!G114</f>
        <v>0</v>
      </c>
      <c r="H31" s="41">
        <f>'10.Grain Production details'!H114</f>
        <v>0</v>
      </c>
      <c r="I31" s="41">
        <f>'10.Grain Production details'!I114</f>
        <v>0</v>
      </c>
    </row>
    <row r="32" spans="1:9" x14ac:dyDescent="0.35">
      <c r="A32" s="24" t="str">
        <f>'11.F&amp;V Crop Production details'!A1:H1</f>
        <v>Fruit  &amp; Vegetables Crop Production Details</v>
      </c>
      <c r="B32" s="41"/>
      <c r="C32" s="41"/>
      <c r="D32" s="41"/>
      <c r="E32" s="41"/>
      <c r="F32" s="41"/>
      <c r="G32" s="41"/>
      <c r="H32" s="41"/>
      <c r="I32" s="41"/>
    </row>
    <row r="33" spans="1:9" x14ac:dyDescent="0.35">
      <c r="A33" s="23" t="str">
        <f>'11.F&amp;V Crop Production details'!A102</f>
        <v>Onion</v>
      </c>
      <c r="B33" s="41"/>
      <c r="C33" s="41">
        <f>'11.F&amp;V Crop Production details'!B102</f>
        <v>0</v>
      </c>
      <c r="D33" s="41">
        <f>'11.F&amp;V Crop Production details'!C102</f>
        <v>0</v>
      </c>
      <c r="E33" s="41">
        <f>'11.F&amp;V Crop Production details'!D102</f>
        <v>0</v>
      </c>
      <c r="F33" s="41">
        <f>'11.F&amp;V Crop Production details'!E102</f>
        <v>0</v>
      </c>
      <c r="G33" s="41">
        <f>'11.F&amp;V Crop Production details'!F102</f>
        <v>0</v>
      </c>
      <c r="H33" s="41">
        <f>'11.F&amp;V Crop Production details'!G102</f>
        <v>0</v>
      </c>
      <c r="I33" s="41">
        <f>'11.F&amp;V Crop Production details'!H102</f>
        <v>0</v>
      </c>
    </row>
    <row r="34" spans="1:9" x14ac:dyDescent="0.35">
      <c r="A34" s="23" t="str">
        <f>'11.F&amp;V Crop Production details'!A103</f>
        <v>Tomato</v>
      </c>
      <c r="B34" s="41"/>
      <c r="C34" s="41">
        <f>'11.F&amp;V Crop Production details'!B103</f>
        <v>0</v>
      </c>
      <c r="D34" s="41">
        <f>'11.F&amp;V Crop Production details'!C103</f>
        <v>0</v>
      </c>
      <c r="E34" s="41">
        <f>'11.F&amp;V Crop Production details'!D103</f>
        <v>0</v>
      </c>
      <c r="F34" s="41">
        <f>'11.F&amp;V Crop Production details'!E103</f>
        <v>0</v>
      </c>
      <c r="G34" s="41">
        <f>'11.F&amp;V Crop Production details'!F103</f>
        <v>0</v>
      </c>
      <c r="H34" s="41">
        <f>'11.F&amp;V Crop Production details'!G103</f>
        <v>0</v>
      </c>
      <c r="I34" s="41">
        <f>'11.F&amp;V Crop Production details'!H103</f>
        <v>0</v>
      </c>
    </row>
    <row r="35" spans="1:9" x14ac:dyDescent="0.35">
      <c r="A35" s="23" t="str">
        <f>'11.F&amp;V Crop Production details'!A104</f>
        <v>Okra</v>
      </c>
      <c r="B35" s="41"/>
      <c r="C35" s="41">
        <f>'11.F&amp;V Crop Production details'!B104</f>
        <v>0</v>
      </c>
      <c r="D35" s="41">
        <f>'11.F&amp;V Crop Production details'!C104</f>
        <v>0</v>
      </c>
      <c r="E35" s="41">
        <f>'11.F&amp;V Crop Production details'!D104</f>
        <v>0</v>
      </c>
      <c r="F35" s="41">
        <f>'11.F&amp;V Crop Production details'!E104</f>
        <v>0</v>
      </c>
      <c r="G35" s="41">
        <f>'11.F&amp;V Crop Production details'!F104</f>
        <v>0</v>
      </c>
      <c r="H35" s="41">
        <f>'11.F&amp;V Crop Production details'!G104</f>
        <v>0</v>
      </c>
      <c r="I35" s="41">
        <f>'11.F&amp;V Crop Production details'!H104</f>
        <v>0</v>
      </c>
    </row>
    <row r="36" spans="1:9" x14ac:dyDescent="0.35">
      <c r="A36" s="23" t="str">
        <f>'11.F&amp;V Crop Production details'!A105</f>
        <v>Chilli</v>
      </c>
      <c r="B36" s="41"/>
      <c r="C36" s="41">
        <f>'11.F&amp;V Crop Production details'!B105</f>
        <v>0</v>
      </c>
      <c r="D36" s="41">
        <f>'11.F&amp;V Crop Production details'!C105</f>
        <v>0</v>
      </c>
      <c r="E36" s="41">
        <f>'11.F&amp;V Crop Production details'!D105</f>
        <v>0</v>
      </c>
      <c r="F36" s="41">
        <f>'11.F&amp;V Crop Production details'!E105</f>
        <v>0</v>
      </c>
      <c r="G36" s="41">
        <f>'11.F&amp;V Crop Production details'!F105</f>
        <v>0</v>
      </c>
      <c r="H36" s="41">
        <f>'11.F&amp;V Crop Production details'!G105</f>
        <v>0</v>
      </c>
      <c r="I36" s="41">
        <f>'11.F&amp;V Crop Production details'!H105</f>
        <v>0</v>
      </c>
    </row>
    <row r="37" spans="1:9" x14ac:dyDescent="0.35">
      <c r="A37" s="23" t="str">
        <f>'11.F&amp;V Crop Production details'!A106</f>
        <v>Potato</v>
      </c>
      <c r="B37" s="41"/>
      <c r="C37" s="41">
        <f>'11.F&amp;V Crop Production details'!B106</f>
        <v>0</v>
      </c>
      <c r="D37" s="41">
        <f>'11.F&amp;V Crop Production details'!C106</f>
        <v>0</v>
      </c>
      <c r="E37" s="41">
        <f>'11.F&amp;V Crop Production details'!D106</f>
        <v>0</v>
      </c>
      <c r="F37" s="41">
        <f>'11.F&amp;V Crop Production details'!E106</f>
        <v>0</v>
      </c>
      <c r="G37" s="41">
        <f>'11.F&amp;V Crop Production details'!F106</f>
        <v>0</v>
      </c>
      <c r="H37" s="41">
        <f>'11.F&amp;V Crop Production details'!G106</f>
        <v>0</v>
      </c>
      <c r="I37" s="41">
        <f>'11.F&amp;V Crop Production details'!H106</f>
        <v>0</v>
      </c>
    </row>
    <row r="38" spans="1:9" x14ac:dyDescent="0.35">
      <c r="A38" s="23">
        <f>'11.F&amp;V Crop Production details'!A107</f>
        <v>0</v>
      </c>
      <c r="B38" s="41"/>
      <c r="C38" s="41">
        <f>'11.F&amp;V Crop Production details'!B107</f>
        <v>0</v>
      </c>
      <c r="D38" s="41">
        <f>'11.F&amp;V Crop Production details'!C107</f>
        <v>0</v>
      </c>
      <c r="E38" s="41">
        <f>'11.F&amp;V Crop Production details'!D107</f>
        <v>0</v>
      </c>
      <c r="F38" s="41">
        <f>'11.F&amp;V Crop Production details'!E107</f>
        <v>0</v>
      </c>
      <c r="G38" s="41">
        <f>'11.F&amp;V Crop Production details'!F107</f>
        <v>0</v>
      </c>
      <c r="H38" s="41">
        <f>'11.F&amp;V Crop Production details'!G107</f>
        <v>0</v>
      </c>
      <c r="I38" s="41">
        <f>'11.F&amp;V Crop Production details'!H107</f>
        <v>0</v>
      </c>
    </row>
    <row r="39" spans="1:9" x14ac:dyDescent="0.35">
      <c r="A39" s="23">
        <f>'11.F&amp;V Crop Production details'!A108</f>
        <v>0</v>
      </c>
      <c r="B39" s="41"/>
      <c r="C39" s="41">
        <f>'11.F&amp;V Crop Production details'!B108</f>
        <v>0</v>
      </c>
      <c r="D39" s="41">
        <f>'11.F&amp;V Crop Production details'!C108</f>
        <v>0</v>
      </c>
      <c r="E39" s="41">
        <f>'11.F&amp;V Crop Production details'!D108</f>
        <v>0</v>
      </c>
      <c r="F39" s="41">
        <f>'11.F&amp;V Crop Production details'!E108</f>
        <v>0</v>
      </c>
      <c r="G39" s="41">
        <f>'11.F&amp;V Crop Production details'!F108</f>
        <v>0</v>
      </c>
      <c r="H39" s="41">
        <f>'11.F&amp;V Crop Production details'!G108</f>
        <v>0</v>
      </c>
      <c r="I39" s="41">
        <f>'11.F&amp;V Crop Production details'!H108</f>
        <v>0</v>
      </c>
    </row>
    <row r="40" spans="1:9" x14ac:dyDescent="0.35">
      <c r="A40" s="23">
        <f>'11.F&amp;V Crop Production details'!A109</f>
        <v>0</v>
      </c>
      <c r="B40" s="41"/>
      <c r="C40" s="41">
        <f>'11.F&amp;V Crop Production details'!B109</f>
        <v>0</v>
      </c>
      <c r="D40" s="41">
        <f>'11.F&amp;V Crop Production details'!C109</f>
        <v>0</v>
      </c>
      <c r="E40" s="41">
        <f>'11.F&amp;V Crop Production details'!D109</f>
        <v>0</v>
      </c>
      <c r="F40" s="41">
        <f>'11.F&amp;V Crop Production details'!E109</f>
        <v>0</v>
      </c>
      <c r="G40" s="41">
        <f>'11.F&amp;V Crop Production details'!F109</f>
        <v>0</v>
      </c>
      <c r="H40" s="41">
        <f>'11.F&amp;V Crop Production details'!G109</f>
        <v>0</v>
      </c>
      <c r="I40" s="41">
        <f>'11.F&amp;V Crop Production details'!H109</f>
        <v>0</v>
      </c>
    </row>
    <row r="41" spans="1:9" x14ac:dyDescent="0.35">
      <c r="A41" s="23">
        <f>'11.F&amp;V Crop Production details'!A110</f>
        <v>0</v>
      </c>
      <c r="B41" s="41"/>
      <c r="C41" s="41">
        <f>'11.F&amp;V Crop Production details'!B110</f>
        <v>0</v>
      </c>
      <c r="D41" s="41">
        <f>'11.F&amp;V Crop Production details'!C110</f>
        <v>0</v>
      </c>
      <c r="E41" s="41">
        <f>'11.F&amp;V Crop Production details'!D110</f>
        <v>0</v>
      </c>
      <c r="F41" s="41">
        <f>'11.F&amp;V Crop Production details'!E110</f>
        <v>0</v>
      </c>
      <c r="G41" s="41">
        <f>'11.F&amp;V Crop Production details'!F110</f>
        <v>0</v>
      </c>
      <c r="H41" s="41">
        <f>'11.F&amp;V Crop Production details'!G110</f>
        <v>0</v>
      </c>
      <c r="I41" s="41">
        <f>'11.F&amp;V Crop Production details'!H110</f>
        <v>0</v>
      </c>
    </row>
    <row r="42" spans="1:9" x14ac:dyDescent="0.35">
      <c r="A42" s="23" t="str">
        <f>'11.F&amp;V Crop Production details'!A111</f>
        <v>Onion</v>
      </c>
      <c r="B42" s="41"/>
      <c r="C42" s="41">
        <f>'11.F&amp;V Crop Production details'!B111</f>
        <v>0</v>
      </c>
      <c r="D42" s="41">
        <f>'11.F&amp;V Crop Production details'!C111</f>
        <v>0</v>
      </c>
      <c r="E42" s="41">
        <f>'11.F&amp;V Crop Production details'!D111</f>
        <v>0</v>
      </c>
      <c r="F42" s="41">
        <f>'11.F&amp;V Crop Production details'!E111</f>
        <v>0</v>
      </c>
      <c r="G42" s="41">
        <f>'11.F&amp;V Crop Production details'!F111</f>
        <v>0</v>
      </c>
      <c r="H42" s="41">
        <f>'11.F&amp;V Crop Production details'!G111</f>
        <v>0</v>
      </c>
      <c r="I42" s="41">
        <f>'11.F&amp;V Crop Production details'!H111</f>
        <v>0</v>
      </c>
    </row>
    <row r="43" spans="1:9" x14ac:dyDescent="0.35">
      <c r="A43" s="23" t="str">
        <f>'11.F&amp;V Crop Production details'!A112</f>
        <v>Tomato</v>
      </c>
      <c r="B43" s="41"/>
      <c r="C43" s="41">
        <f>'11.F&amp;V Crop Production details'!B112</f>
        <v>0</v>
      </c>
      <c r="D43" s="41">
        <f>'11.F&amp;V Crop Production details'!C112</f>
        <v>0</v>
      </c>
      <c r="E43" s="41">
        <f>'11.F&amp;V Crop Production details'!D112</f>
        <v>0</v>
      </c>
      <c r="F43" s="41">
        <f>'11.F&amp;V Crop Production details'!E112</f>
        <v>0</v>
      </c>
      <c r="G43" s="41">
        <f>'11.F&amp;V Crop Production details'!F112</f>
        <v>0</v>
      </c>
      <c r="H43" s="41">
        <f>'11.F&amp;V Crop Production details'!G112</f>
        <v>0</v>
      </c>
      <c r="I43" s="41">
        <f>'11.F&amp;V Crop Production details'!H112</f>
        <v>0</v>
      </c>
    </row>
    <row r="44" spans="1:9" x14ac:dyDescent="0.35">
      <c r="A44" s="23" t="str">
        <f>'11.F&amp;V Crop Production details'!A113</f>
        <v>Okra</v>
      </c>
      <c r="B44" s="41"/>
      <c r="C44" s="41">
        <f>'11.F&amp;V Crop Production details'!B113</f>
        <v>0</v>
      </c>
      <c r="D44" s="41">
        <f>'11.F&amp;V Crop Production details'!C113</f>
        <v>0</v>
      </c>
      <c r="E44" s="41">
        <f>'11.F&amp;V Crop Production details'!D113</f>
        <v>0</v>
      </c>
      <c r="F44" s="41">
        <f>'11.F&amp;V Crop Production details'!E113</f>
        <v>0</v>
      </c>
      <c r="G44" s="41">
        <f>'11.F&amp;V Crop Production details'!F113</f>
        <v>0</v>
      </c>
      <c r="H44" s="41">
        <f>'11.F&amp;V Crop Production details'!G113</f>
        <v>0</v>
      </c>
      <c r="I44" s="41">
        <f>'11.F&amp;V Crop Production details'!H113</f>
        <v>0</v>
      </c>
    </row>
    <row r="45" spans="1:9" x14ac:dyDescent="0.35">
      <c r="A45" s="23" t="str">
        <f>'11.F&amp;V Crop Production details'!A114</f>
        <v>Chilli</v>
      </c>
      <c r="B45" s="41"/>
      <c r="C45" s="41">
        <f>'11.F&amp;V Crop Production details'!B114</f>
        <v>0</v>
      </c>
      <c r="D45" s="41">
        <f>'11.F&amp;V Crop Production details'!C114</f>
        <v>0</v>
      </c>
      <c r="E45" s="41">
        <f>'11.F&amp;V Crop Production details'!D114</f>
        <v>0</v>
      </c>
      <c r="F45" s="41">
        <f>'11.F&amp;V Crop Production details'!E114</f>
        <v>0</v>
      </c>
      <c r="G45" s="41">
        <f>'11.F&amp;V Crop Production details'!F114</f>
        <v>0</v>
      </c>
      <c r="H45" s="41">
        <f>'11.F&amp;V Crop Production details'!G114</f>
        <v>0</v>
      </c>
      <c r="I45" s="41">
        <f>'11.F&amp;V Crop Production details'!H114</f>
        <v>0</v>
      </c>
    </row>
    <row r="46" spans="1:9" x14ac:dyDescent="0.35">
      <c r="A46" s="23" t="str">
        <f>'11.F&amp;V Crop Production details'!A115</f>
        <v>Brinjal</v>
      </c>
      <c r="B46" s="41"/>
      <c r="C46" s="41">
        <f>'11.F&amp;V Crop Production details'!B115</f>
        <v>0</v>
      </c>
      <c r="D46" s="41">
        <f>'11.F&amp;V Crop Production details'!C115</f>
        <v>0</v>
      </c>
      <c r="E46" s="41">
        <f>'11.F&amp;V Crop Production details'!D115</f>
        <v>0</v>
      </c>
      <c r="F46" s="41">
        <f>'11.F&amp;V Crop Production details'!E115</f>
        <v>0</v>
      </c>
      <c r="G46" s="41">
        <f>'11.F&amp;V Crop Production details'!F115</f>
        <v>0</v>
      </c>
      <c r="H46" s="41">
        <f>'11.F&amp;V Crop Production details'!G115</f>
        <v>0</v>
      </c>
      <c r="I46" s="41">
        <f>'11.F&amp;V Crop Production details'!H115</f>
        <v>0</v>
      </c>
    </row>
    <row r="47" spans="1:9" x14ac:dyDescent="0.35">
      <c r="A47" s="23">
        <f>'11.F&amp;V Crop Production details'!A116</f>
        <v>0</v>
      </c>
      <c r="B47" s="41"/>
      <c r="C47" s="41">
        <f>'11.F&amp;V Crop Production details'!B116</f>
        <v>0</v>
      </c>
      <c r="D47" s="41">
        <f>'11.F&amp;V Crop Production details'!C116</f>
        <v>0</v>
      </c>
      <c r="E47" s="41">
        <f>'11.F&amp;V Crop Production details'!D116</f>
        <v>0</v>
      </c>
      <c r="F47" s="41">
        <f>'11.F&amp;V Crop Production details'!E116</f>
        <v>0</v>
      </c>
      <c r="G47" s="41">
        <f>'11.F&amp;V Crop Production details'!F116</f>
        <v>0</v>
      </c>
      <c r="H47" s="41">
        <f>'11.F&amp;V Crop Production details'!G116</f>
        <v>0</v>
      </c>
      <c r="I47" s="41">
        <f>'11.F&amp;V Crop Production details'!H116</f>
        <v>0</v>
      </c>
    </row>
    <row r="48" spans="1:9" x14ac:dyDescent="0.35">
      <c r="A48" s="23">
        <f>'11.F&amp;V Crop Production details'!A117</f>
        <v>0</v>
      </c>
      <c r="B48" s="41"/>
      <c r="C48" s="41">
        <f>'11.F&amp;V Crop Production details'!B117</f>
        <v>0</v>
      </c>
      <c r="D48" s="41">
        <f>'11.F&amp;V Crop Production details'!C117</f>
        <v>0</v>
      </c>
      <c r="E48" s="41">
        <f>'11.F&amp;V Crop Production details'!D117</f>
        <v>0</v>
      </c>
      <c r="F48" s="41">
        <f>'11.F&amp;V Crop Production details'!E117</f>
        <v>0</v>
      </c>
      <c r="G48" s="41">
        <f>'11.F&amp;V Crop Production details'!F117</f>
        <v>0</v>
      </c>
      <c r="H48" s="41">
        <f>'11.F&amp;V Crop Production details'!G117</f>
        <v>0</v>
      </c>
      <c r="I48" s="41">
        <f>'11.F&amp;V Crop Production details'!H117</f>
        <v>0</v>
      </c>
    </row>
    <row r="49" spans="1:9" x14ac:dyDescent="0.35">
      <c r="A49" s="23">
        <f>'11.F&amp;V Crop Production details'!A118</f>
        <v>0</v>
      </c>
      <c r="B49" s="41"/>
      <c r="C49" s="41">
        <f>'11.F&amp;V Crop Production details'!B118</f>
        <v>0</v>
      </c>
      <c r="D49" s="41">
        <f>'11.F&amp;V Crop Production details'!C118</f>
        <v>0</v>
      </c>
      <c r="E49" s="41">
        <f>'11.F&amp;V Crop Production details'!D118</f>
        <v>0</v>
      </c>
      <c r="F49" s="41">
        <f>'11.F&amp;V Crop Production details'!E118</f>
        <v>0</v>
      </c>
      <c r="G49" s="41">
        <f>'11.F&amp;V Crop Production details'!F118</f>
        <v>0</v>
      </c>
      <c r="H49" s="41">
        <f>'11.F&amp;V Crop Production details'!G118</f>
        <v>0</v>
      </c>
      <c r="I49" s="41">
        <f>'11.F&amp;V Crop Production details'!H118</f>
        <v>0</v>
      </c>
    </row>
    <row r="50" spans="1:9" x14ac:dyDescent="0.35">
      <c r="A50" s="23">
        <f>'11.F&amp;V Crop Production details'!A119</f>
        <v>0</v>
      </c>
      <c r="B50" s="41"/>
      <c r="C50" s="41">
        <f>'11.F&amp;V Crop Production details'!B119</f>
        <v>0</v>
      </c>
      <c r="D50" s="41">
        <f>'11.F&amp;V Crop Production details'!C119</f>
        <v>0</v>
      </c>
      <c r="E50" s="41">
        <f>'11.F&amp;V Crop Production details'!D119</f>
        <v>0</v>
      </c>
      <c r="F50" s="41">
        <f>'11.F&amp;V Crop Production details'!E119</f>
        <v>0</v>
      </c>
      <c r="G50" s="41">
        <f>'11.F&amp;V Crop Production details'!F119</f>
        <v>0</v>
      </c>
      <c r="H50" s="41">
        <f>'11.F&amp;V Crop Production details'!G119</f>
        <v>0</v>
      </c>
      <c r="I50" s="41">
        <f>'11.F&amp;V Crop Production details'!H119</f>
        <v>0</v>
      </c>
    </row>
    <row r="51" spans="1:9" x14ac:dyDescent="0.35">
      <c r="A51" s="23">
        <f>'11.F&amp;V Crop Production details'!A120</f>
        <v>0</v>
      </c>
      <c r="B51" s="41"/>
      <c r="C51" s="41">
        <f>'11.F&amp;V Crop Production details'!B120</f>
        <v>0</v>
      </c>
      <c r="D51" s="41">
        <f>'11.F&amp;V Crop Production details'!C120</f>
        <v>0</v>
      </c>
      <c r="E51" s="41">
        <f>'11.F&amp;V Crop Production details'!D120</f>
        <v>0</v>
      </c>
      <c r="F51" s="41">
        <f>'11.F&amp;V Crop Production details'!E120</f>
        <v>0</v>
      </c>
      <c r="G51" s="41">
        <f>'11.F&amp;V Crop Production details'!F120</f>
        <v>0</v>
      </c>
      <c r="H51" s="41">
        <f>'11.F&amp;V Crop Production details'!G120</f>
        <v>0</v>
      </c>
      <c r="I51" s="41">
        <f>'11.F&amp;V Crop Production details'!H120</f>
        <v>0</v>
      </c>
    </row>
    <row r="52" spans="1:9" x14ac:dyDescent="0.35">
      <c r="A52" s="23">
        <f>'11.F&amp;V Crop Production details'!A121</f>
        <v>0</v>
      </c>
      <c r="B52" s="41"/>
      <c r="C52" s="41">
        <f>'11.F&amp;V Crop Production details'!B121</f>
        <v>0</v>
      </c>
      <c r="D52" s="41">
        <f>'11.F&amp;V Crop Production details'!C121</f>
        <v>0</v>
      </c>
      <c r="E52" s="41">
        <f>'11.F&amp;V Crop Production details'!D121</f>
        <v>0</v>
      </c>
      <c r="F52" s="41">
        <f>'11.F&amp;V Crop Production details'!E121</f>
        <v>0</v>
      </c>
      <c r="G52" s="41">
        <f>'11.F&amp;V Crop Production details'!F121</f>
        <v>0</v>
      </c>
      <c r="H52" s="41">
        <f>'11.F&amp;V Crop Production details'!G121</f>
        <v>0</v>
      </c>
      <c r="I52" s="41">
        <f>'11.F&amp;V Crop Production details'!H121</f>
        <v>0</v>
      </c>
    </row>
    <row r="53" spans="1:9" x14ac:dyDescent="0.35">
      <c r="A53" s="23">
        <f>'11.F&amp;V Crop Production details'!A122</f>
        <v>0</v>
      </c>
      <c r="B53" s="41"/>
      <c r="C53" s="41">
        <f>'11.F&amp;V Crop Production details'!B122</f>
        <v>0</v>
      </c>
      <c r="D53" s="41">
        <f>'11.F&amp;V Crop Production details'!C122</f>
        <v>0</v>
      </c>
      <c r="E53" s="41">
        <f>'11.F&amp;V Crop Production details'!D122</f>
        <v>0</v>
      </c>
      <c r="F53" s="41">
        <f>'11.F&amp;V Crop Production details'!E122</f>
        <v>0</v>
      </c>
      <c r="G53" s="41">
        <f>'11.F&amp;V Crop Production details'!F122</f>
        <v>0</v>
      </c>
      <c r="H53" s="41">
        <f>'11.F&amp;V Crop Production details'!G122</f>
        <v>0</v>
      </c>
      <c r="I53" s="41">
        <f>'11.F&amp;V Crop Production details'!H122</f>
        <v>0</v>
      </c>
    </row>
    <row r="54" spans="1:9" x14ac:dyDescent="0.35">
      <c r="A54" s="23" t="str">
        <f>'11.F&amp;V Crop Production details'!A123</f>
        <v>Pomegranate</v>
      </c>
      <c r="B54" s="41"/>
      <c r="C54" s="41">
        <f>'11.F&amp;V Crop Production details'!B123</f>
        <v>0</v>
      </c>
      <c r="D54" s="41">
        <f>'11.F&amp;V Crop Production details'!C123</f>
        <v>0</v>
      </c>
      <c r="E54" s="41">
        <f>'11.F&amp;V Crop Production details'!D123</f>
        <v>0</v>
      </c>
      <c r="F54" s="41">
        <f>'11.F&amp;V Crop Production details'!E123</f>
        <v>0</v>
      </c>
      <c r="G54" s="41">
        <f>'11.F&amp;V Crop Production details'!F123</f>
        <v>0</v>
      </c>
      <c r="H54" s="41">
        <f>'11.F&amp;V Crop Production details'!G123</f>
        <v>0</v>
      </c>
      <c r="I54" s="41">
        <f>'11.F&amp;V Crop Production details'!H123</f>
        <v>0</v>
      </c>
    </row>
    <row r="55" spans="1:9" x14ac:dyDescent="0.35">
      <c r="A55" s="23" t="str">
        <f>'11.F&amp;V Crop Production details'!A124</f>
        <v>Custard Apple</v>
      </c>
      <c r="B55" s="41"/>
      <c r="C55" s="41">
        <f>'11.F&amp;V Crop Production details'!B124</f>
        <v>0</v>
      </c>
      <c r="D55" s="41">
        <f>'11.F&amp;V Crop Production details'!C124</f>
        <v>0</v>
      </c>
      <c r="E55" s="41">
        <f>'11.F&amp;V Crop Production details'!D124</f>
        <v>0</v>
      </c>
      <c r="F55" s="41">
        <f>'11.F&amp;V Crop Production details'!E124</f>
        <v>0</v>
      </c>
      <c r="G55" s="41">
        <f>'11.F&amp;V Crop Production details'!F124</f>
        <v>0</v>
      </c>
      <c r="H55" s="41">
        <f>'11.F&amp;V Crop Production details'!G124</f>
        <v>0</v>
      </c>
      <c r="I55" s="41">
        <f>'11.F&amp;V Crop Production details'!H124</f>
        <v>0</v>
      </c>
    </row>
    <row r="56" spans="1:9" x14ac:dyDescent="0.35">
      <c r="A56" s="23" t="str">
        <f>'11.F&amp;V Crop Production details'!A125</f>
        <v>Guava</v>
      </c>
      <c r="B56" s="41"/>
      <c r="C56" s="41">
        <f>'11.F&amp;V Crop Production details'!B125</f>
        <v>0</v>
      </c>
      <c r="D56" s="41">
        <f>'11.F&amp;V Crop Production details'!C125</f>
        <v>0</v>
      </c>
      <c r="E56" s="41">
        <f>'11.F&amp;V Crop Production details'!D125</f>
        <v>0</v>
      </c>
      <c r="F56" s="41">
        <f>'11.F&amp;V Crop Production details'!E125</f>
        <v>0</v>
      </c>
      <c r="G56" s="41">
        <f>'11.F&amp;V Crop Production details'!F125</f>
        <v>0</v>
      </c>
      <c r="H56" s="41">
        <f>'11.F&amp;V Crop Production details'!G125</f>
        <v>0</v>
      </c>
      <c r="I56" s="41">
        <f>'11.F&amp;V Crop Production details'!H125</f>
        <v>0</v>
      </c>
    </row>
    <row r="57" spans="1:9" x14ac:dyDescent="0.35">
      <c r="A57" s="23" t="str">
        <f>'11.F&amp;V Crop Production details'!A126</f>
        <v>Citrus</v>
      </c>
      <c r="B57" s="41"/>
      <c r="C57" s="41">
        <f>'11.F&amp;V Crop Production details'!B126</f>
        <v>0</v>
      </c>
      <c r="D57" s="41">
        <f>'11.F&amp;V Crop Production details'!C126</f>
        <v>0</v>
      </c>
      <c r="E57" s="41">
        <f>'11.F&amp;V Crop Production details'!D126</f>
        <v>0</v>
      </c>
      <c r="F57" s="41">
        <f>'11.F&amp;V Crop Production details'!E126</f>
        <v>0</v>
      </c>
      <c r="G57" s="41">
        <f>'11.F&amp;V Crop Production details'!F126</f>
        <v>0</v>
      </c>
      <c r="H57" s="41">
        <f>'11.F&amp;V Crop Production details'!G126</f>
        <v>0</v>
      </c>
      <c r="I57" s="41">
        <f>'11.F&amp;V Crop Production details'!H126</f>
        <v>0</v>
      </c>
    </row>
    <row r="58" spans="1:9" x14ac:dyDescent="0.35">
      <c r="A58" s="23"/>
      <c r="B58" s="41"/>
      <c r="C58" s="41"/>
      <c r="D58" s="41"/>
      <c r="E58" s="41"/>
      <c r="F58" s="41"/>
      <c r="G58" s="41"/>
      <c r="H58" s="41"/>
      <c r="I58" s="41"/>
    </row>
    <row r="59" spans="1:9" x14ac:dyDescent="0.35">
      <c r="A59" s="24" t="s">
        <v>179</v>
      </c>
      <c r="B59" s="23"/>
      <c r="C59" s="23"/>
      <c r="D59" s="23"/>
      <c r="E59" s="23"/>
      <c r="F59" s="23"/>
      <c r="G59" s="23"/>
      <c r="H59" s="23"/>
      <c r="I59" s="23"/>
    </row>
    <row r="60" spans="1:9" x14ac:dyDescent="0.35">
      <c r="A60" s="24" t="s">
        <v>180</v>
      </c>
      <c r="B60" s="23"/>
      <c r="C60" s="23"/>
      <c r="D60" s="23"/>
      <c r="E60" s="23"/>
      <c r="F60" s="23"/>
      <c r="G60" s="23"/>
      <c r="H60" s="23"/>
      <c r="I60" s="23"/>
    </row>
    <row r="61" spans="1:9" x14ac:dyDescent="0.35">
      <c r="A61" s="24" t="str">
        <f t="shared" ref="A61:A92" si="0">A8</f>
        <v>Kharif Crops</v>
      </c>
      <c r="B61" s="23"/>
      <c r="C61" s="23"/>
      <c r="D61" s="23"/>
      <c r="E61" s="23"/>
      <c r="F61" s="23"/>
      <c r="G61" s="23"/>
      <c r="H61" s="23"/>
      <c r="I61" s="23"/>
    </row>
    <row r="62" spans="1:9" x14ac:dyDescent="0.35">
      <c r="A62" s="23" t="str">
        <f t="shared" si="0"/>
        <v>Soybean</v>
      </c>
      <c r="B62" s="46">
        <v>0</v>
      </c>
      <c r="C62" s="42">
        <f>$B62*C9</f>
        <v>0</v>
      </c>
      <c r="D62" s="42">
        <f>$B62*D9</f>
        <v>0</v>
      </c>
      <c r="E62" s="42">
        <f t="shared" ref="E62:I62" si="1">$B62*E9</f>
        <v>0</v>
      </c>
      <c r="F62" s="42">
        <f t="shared" si="1"/>
        <v>0</v>
      </c>
      <c r="G62" s="42">
        <f t="shared" si="1"/>
        <v>0</v>
      </c>
      <c r="H62" s="42">
        <f t="shared" si="1"/>
        <v>0</v>
      </c>
      <c r="I62" s="42">
        <f t="shared" si="1"/>
        <v>0</v>
      </c>
    </row>
    <row r="63" spans="1:9" x14ac:dyDescent="0.35">
      <c r="A63" s="23" t="str">
        <f t="shared" si="0"/>
        <v>Tur</v>
      </c>
      <c r="B63" s="46">
        <v>0</v>
      </c>
      <c r="C63" s="42">
        <f>$B63*C10</f>
        <v>0</v>
      </c>
      <c r="D63" s="42">
        <f t="shared" ref="D63:I63" si="2">$B$63*D10</f>
        <v>0</v>
      </c>
      <c r="E63" s="42">
        <f t="shared" si="2"/>
        <v>0</v>
      </c>
      <c r="F63" s="42">
        <f t="shared" si="2"/>
        <v>0</v>
      </c>
      <c r="G63" s="42">
        <f t="shared" si="2"/>
        <v>0</v>
      </c>
      <c r="H63" s="42">
        <f t="shared" si="2"/>
        <v>0</v>
      </c>
      <c r="I63" s="42">
        <f t="shared" si="2"/>
        <v>0</v>
      </c>
    </row>
    <row r="64" spans="1:9" x14ac:dyDescent="0.35">
      <c r="A64" s="23" t="str">
        <f t="shared" si="0"/>
        <v>Turmeric</v>
      </c>
      <c r="B64" s="46">
        <v>0</v>
      </c>
      <c r="C64" s="42">
        <f>$B64*C11</f>
        <v>0</v>
      </c>
      <c r="D64" s="42">
        <f t="shared" ref="D64:I64" si="3">$B$64*D11</f>
        <v>0</v>
      </c>
      <c r="E64" s="42">
        <f t="shared" si="3"/>
        <v>0</v>
      </c>
      <c r="F64" s="42">
        <f t="shared" si="3"/>
        <v>0</v>
      </c>
      <c r="G64" s="42">
        <f t="shared" si="3"/>
        <v>0</v>
      </c>
      <c r="H64" s="42">
        <f t="shared" si="3"/>
        <v>0</v>
      </c>
      <c r="I64" s="42">
        <f t="shared" si="3"/>
        <v>0</v>
      </c>
    </row>
    <row r="65" spans="1:9" x14ac:dyDescent="0.35">
      <c r="A65" s="23" t="str">
        <f t="shared" si="0"/>
        <v>Moong</v>
      </c>
      <c r="B65" s="46">
        <v>0</v>
      </c>
      <c r="C65" s="42">
        <f>$B65*C12</f>
        <v>0</v>
      </c>
      <c r="D65" s="42">
        <f t="shared" ref="D65:I67" si="4">$B65*D12</f>
        <v>0</v>
      </c>
      <c r="E65" s="42">
        <f t="shared" si="4"/>
        <v>0</v>
      </c>
      <c r="F65" s="42">
        <f t="shared" si="4"/>
        <v>0</v>
      </c>
      <c r="G65" s="42">
        <f t="shared" si="4"/>
        <v>0</v>
      </c>
      <c r="H65" s="42">
        <f t="shared" si="4"/>
        <v>0</v>
      </c>
      <c r="I65" s="42">
        <f t="shared" si="4"/>
        <v>0</v>
      </c>
    </row>
    <row r="66" spans="1:9" x14ac:dyDescent="0.35">
      <c r="A66" s="23" t="str">
        <f t="shared" si="0"/>
        <v>Maize</v>
      </c>
      <c r="B66" s="46">
        <v>0</v>
      </c>
      <c r="C66" s="42">
        <f>$B66*C13</f>
        <v>0</v>
      </c>
      <c r="D66" s="42">
        <f t="shared" si="4"/>
        <v>0</v>
      </c>
      <c r="E66" s="42">
        <f t="shared" si="4"/>
        <v>0</v>
      </c>
      <c r="F66" s="42">
        <f t="shared" si="4"/>
        <v>0</v>
      </c>
      <c r="G66" s="42">
        <f t="shared" si="4"/>
        <v>0</v>
      </c>
      <c r="H66" s="42">
        <f t="shared" si="4"/>
        <v>0</v>
      </c>
      <c r="I66" s="42">
        <f t="shared" si="4"/>
        <v>0</v>
      </c>
    </row>
    <row r="67" spans="1:9" x14ac:dyDescent="0.35">
      <c r="A67" s="23" t="str">
        <f t="shared" si="0"/>
        <v>Udid</v>
      </c>
      <c r="B67" s="46">
        <v>0</v>
      </c>
      <c r="C67" s="42">
        <f>$B67*C14</f>
        <v>0</v>
      </c>
      <c r="D67" s="42">
        <f t="shared" si="4"/>
        <v>0</v>
      </c>
      <c r="E67" s="42">
        <f t="shared" si="4"/>
        <v>0</v>
      </c>
      <c r="F67" s="42">
        <f t="shared" si="4"/>
        <v>0</v>
      </c>
      <c r="G67" s="42">
        <f t="shared" si="4"/>
        <v>0</v>
      </c>
      <c r="H67" s="42">
        <f t="shared" si="4"/>
        <v>0</v>
      </c>
      <c r="I67" s="42">
        <f t="shared" si="4"/>
        <v>0</v>
      </c>
    </row>
    <row r="68" spans="1:9" x14ac:dyDescent="0.35">
      <c r="A68" s="23" t="str">
        <f t="shared" si="0"/>
        <v>Bajra</v>
      </c>
      <c r="B68" s="46">
        <v>0</v>
      </c>
      <c r="C68" s="42">
        <f t="shared" ref="C68:I68" si="5">$B68*C15</f>
        <v>0</v>
      </c>
      <c r="D68" s="42">
        <f t="shared" si="5"/>
        <v>0</v>
      </c>
      <c r="E68" s="42">
        <f t="shared" si="5"/>
        <v>0</v>
      </c>
      <c r="F68" s="42">
        <f t="shared" si="5"/>
        <v>0</v>
      </c>
      <c r="G68" s="42">
        <f t="shared" si="5"/>
        <v>0</v>
      </c>
      <c r="H68" s="42">
        <f t="shared" si="5"/>
        <v>0</v>
      </c>
      <c r="I68" s="42">
        <f t="shared" si="5"/>
        <v>0</v>
      </c>
    </row>
    <row r="69" spans="1:9" x14ac:dyDescent="0.35">
      <c r="A69" s="23" t="str">
        <f t="shared" si="0"/>
        <v>Jawar</v>
      </c>
      <c r="B69" s="46">
        <v>0</v>
      </c>
      <c r="C69" s="42">
        <f t="shared" ref="C69:I69" si="6">$B69*C16</f>
        <v>0</v>
      </c>
      <c r="D69" s="42">
        <f t="shared" si="6"/>
        <v>0</v>
      </c>
      <c r="E69" s="42">
        <f t="shared" si="6"/>
        <v>0</v>
      </c>
      <c r="F69" s="42">
        <f t="shared" si="6"/>
        <v>0</v>
      </c>
      <c r="G69" s="42">
        <f t="shared" si="6"/>
        <v>0</v>
      </c>
      <c r="H69" s="42">
        <f t="shared" si="6"/>
        <v>0</v>
      </c>
      <c r="I69" s="42">
        <f t="shared" si="6"/>
        <v>0</v>
      </c>
    </row>
    <row r="70" spans="1:9" x14ac:dyDescent="0.35">
      <c r="A70" s="24" t="str">
        <f t="shared" si="0"/>
        <v>Rabi Crop</v>
      </c>
      <c r="B70" s="46"/>
      <c r="C70" s="42"/>
      <c r="D70" s="42"/>
      <c r="E70" s="42"/>
      <c r="F70" s="42"/>
      <c r="G70" s="42"/>
      <c r="H70" s="42"/>
      <c r="I70" s="42"/>
    </row>
    <row r="71" spans="1:9" x14ac:dyDescent="0.35">
      <c r="A71" s="23" t="str">
        <f t="shared" si="0"/>
        <v>Wheat</v>
      </c>
      <c r="B71" s="46">
        <v>0</v>
      </c>
      <c r="C71" s="42">
        <f t="shared" ref="C71:I71" si="7">$B71*C18</f>
        <v>0</v>
      </c>
      <c r="D71" s="42">
        <f t="shared" si="7"/>
        <v>0</v>
      </c>
      <c r="E71" s="42">
        <f t="shared" si="7"/>
        <v>0</v>
      </c>
      <c r="F71" s="42">
        <f t="shared" si="7"/>
        <v>0</v>
      </c>
      <c r="G71" s="42">
        <f t="shared" si="7"/>
        <v>0</v>
      </c>
      <c r="H71" s="42">
        <f t="shared" si="7"/>
        <v>0</v>
      </c>
      <c r="I71" s="42">
        <f t="shared" si="7"/>
        <v>0</v>
      </c>
    </row>
    <row r="72" spans="1:9" x14ac:dyDescent="0.35">
      <c r="A72" s="23" t="str">
        <f t="shared" si="0"/>
        <v>Channa</v>
      </c>
      <c r="B72" s="46">
        <v>0</v>
      </c>
      <c r="C72" s="42">
        <f t="shared" ref="C72:I72" si="8">$B72*C19</f>
        <v>0</v>
      </c>
      <c r="D72" s="42">
        <f t="shared" si="8"/>
        <v>0</v>
      </c>
      <c r="E72" s="42">
        <f t="shared" si="8"/>
        <v>0</v>
      </c>
      <c r="F72" s="42">
        <f t="shared" si="8"/>
        <v>0</v>
      </c>
      <c r="G72" s="42">
        <f t="shared" si="8"/>
        <v>0</v>
      </c>
      <c r="H72" s="42">
        <f t="shared" si="8"/>
        <v>0</v>
      </c>
      <c r="I72" s="42">
        <f t="shared" si="8"/>
        <v>0</v>
      </c>
    </row>
    <row r="73" spans="1:9" x14ac:dyDescent="0.35">
      <c r="A73" s="23" t="str">
        <f t="shared" si="0"/>
        <v>Jawar</v>
      </c>
      <c r="B73" s="46">
        <v>0</v>
      </c>
      <c r="C73" s="42">
        <f t="shared" ref="C73:I73" si="9">$B73*C20</f>
        <v>0</v>
      </c>
      <c r="D73" s="42">
        <f t="shared" si="9"/>
        <v>0</v>
      </c>
      <c r="E73" s="42">
        <f t="shared" si="9"/>
        <v>0</v>
      </c>
      <c r="F73" s="42">
        <f t="shared" si="9"/>
        <v>0</v>
      </c>
      <c r="G73" s="42">
        <f t="shared" si="9"/>
        <v>0</v>
      </c>
      <c r="H73" s="42">
        <f t="shared" si="9"/>
        <v>0</v>
      </c>
      <c r="I73" s="42">
        <f t="shared" si="9"/>
        <v>0</v>
      </c>
    </row>
    <row r="74" spans="1:9" x14ac:dyDescent="0.35">
      <c r="A74" s="23" t="str">
        <f t="shared" si="0"/>
        <v>Maize</v>
      </c>
      <c r="B74" s="46">
        <v>20</v>
      </c>
      <c r="C74" s="42">
        <f t="shared" ref="C74:I74" si="10">$B74*C21</f>
        <v>0</v>
      </c>
      <c r="D74" s="42">
        <f t="shared" si="10"/>
        <v>0</v>
      </c>
      <c r="E74" s="42">
        <f t="shared" si="10"/>
        <v>0</v>
      </c>
      <c r="F74" s="42">
        <f t="shared" si="10"/>
        <v>0</v>
      </c>
      <c r="G74" s="42">
        <f t="shared" si="10"/>
        <v>0</v>
      </c>
      <c r="H74" s="42">
        <f t="shared" si="10"/>
        <v>0</v>
      </c>
      <c r="I74" s="42">
        <f t="shared" si="10"/>
        <v>0</v>
      </c>
    </row>
    <row r="75" spans="1:9" x14ac:dyDescent="0.35">
      <c r="A75" s="23" t="str">
        <f t="shared" si="0"/>
        <v>Safflower</v>
      </c>
      <c r="B75" s="46"/>
      <c r="C75" s="42">
        <f t="shared" ref="C75:I75" si="11">$B75*C22</f>
        <v>0</v>
      </c>
      <c r="D75" s="42">
        <f t="shared" si="11"/>
        <v>0</v>
      </c>
      <c r="E75" s="42">
        <f t="shared" si="11"/>
        <v>0</v>
      </c>
      <c r="F75" s="42">
        <f t="shared" si="11"/>
        <v>0</v>
      </c>
      <c r="G75" s="42">
        <f t="shared" si="11"/>
        <v>0</v>
      </c>
      <c r="H75" s="42">
        <f t="shared" si="11"/>
        <v>0</v>
      </c>
      <c r="I75" s="42">
        <f t="shared" si="11"/>
        <v>0</v>
      </c>
    </row>
    <row r="76" spans="1:9" x14ac:dyDescent="0.35">
      <c r="A76" s="23" t="str">
        <f t="shared" si="0"/>
        <v>Groundnut</v>
      </c>
      <c r="B76" s="46"/>
      <c r="C76" s="42">
        <f t="shared" ref="C76:I76" si="12">$B76*C23</f>
        <v>0</v>
      </c>
      <c r="D76" s="42">
        <f t="shared" si="12"/>
        <v>0</v>
      </c>
      <c r="E76" s="42">
        <f t="shared" si="12"/>
        <v>0</v>
      </c>
      <c r="F76" s="42">
        <f t="shared" si="12"/>
        <v>0</v>
      </c>
      <c r="G76" s="42">
        <f t="shared" si="12"/>
        <v>0</v>
      </c>
      <c r="H76" s="42">
        <f t="shared" si="12"/>
        <v>0</v>
      </c>
      <c r="I76" s="42">
        <f t="shared" si="12"/>
        <v>0</v>
      </c>
    </row>
    <row r="77" spans="1:9" x14ac:dyDescent="0.35">
      <c r="A77" s="23">
        <f t="shared" si="0"/>
        <v>0</v>
      </c>
      <c r="B77" s="46"/>
      <c r="C77" s="42">
        <f t="shared" ref="C77:I77" si="13">$B77*C24</f>
        <v>0</v>
      </c>
      <c r="D77" s="42">
        <f t="shared" si="13"/>
        <v>0</v>
      </c>
      <c r="E77" s="42">
        <f t="shared" si="13"/>
        <v>0</v>
      </c>
      <c r="F77" s="42">
        <f t="shared" si="13"/>
        <v>0</v>
      </c>
      <c r="G77" s="42">
        <f t="shared" si="13"/>
        <v>0</v>
      </c>
      <c r="H77" s="42">
        <f t="shared" si="13"/>
        <v>0</v>
      </c>
      <c r="I77" s="42">
        <f t="shared" si="13"/>
        <v>0</v>
      </c>
    </row>
    <row r="78" spans="1:9" x14ac:dyDescent="0.35">
      <c r="A78" s="23">
        <f t="shared" si="0"/>
        <v>0</v>
      </c>
      <c r="B78" s="46"/>
      <c r="C78" s="42">
        <f t="shared" ref="C78:I78" si="14">$B78*C25</f>
        <v>0</v>
      </c>
      <c r="D78" s="42">
        <f t="shared" si="14"/>
        <v>0</v>
      </c>
      <c r="E78" s="42">
        <f t="shared" si="14"/>
        <v>0</v>
      </c>
      <c r="F78" s="42">
        <f t="shared" si="14"/>
        <v>0</v>
      </c>
      <c r="G78" s="42">
        <f t="shared" si="14"/>
        <v>0</v>
      </c>
      <c r="H78" s="42">
        <f t="shared" si="14"/>
        <v>0</v>
      </c>
      <c r="I78" s="42">
        <f t="shared" si="14"/>
        <v>0</v>
      </c>
    </row>
    <row r="79" spans="1:9" x14ac:dyDescent="0.35">
      <c r="A79" s="24" t="str">
        <f t="shared" si="0"/>
        <v>Summer</v>
      </c>
      <c r="B79" s="46"/>
      <c r="C79" s="42"/>
      <c r="D79" s="42"/>
      <c r="E79" s="42"/>
      <c r="F79" s="42"/>
      <c r="G79" s="42"/>
      <c r="H79" s="42"/>
      <c r="I79" s="42"/>
    </row>
    <row r="80" spans="1:9" x14ac:dyDescent="0.35">
      <c r="A80" s="23" t="str">
        <f t="shared" si="0"/>
        <v>Soybean</v>
      </c>
      <c r="B80" s="46"/>
      <c r="C80" s="42">
        <f t="shared" ref="C80:I80" si="15">$B80*C27</f>
        <v>0</v>
      </c>
      <c r="D80" s="42">
        <f t="shared" si="15"/>
        <v>0</v>
      </c>
      <c r="E80" s="42">
        <f t="shared" si="15"/>
        <v>0</v>
      </c>
      <c r="F80" s="42">
        <f t="shared" si="15"/>
        <v>0</v>
      </c>
      <c r="G80" s="42">
        <f t="shared" si="15"/>
        <v>0</v>
      </c>
      <c r="H80" s="42">
        <f t="shared" si="15"/>
        <v>0</v>
      </c>
      <c r="I80" s="42">
        <f t="shared" si="15"/>
        <v>0</v>
      </c>
    </row>
    <row r="81" spans="1:9" x14ac:dyDescent="0.35">
      <c r="A81" s="23">
        <f t="shared" si="0"/>
        <v>0</v>
      </c>
      <c r="B81" s="46"/>
      <c r="C81" s="42">
        <f t="shared" ref="C81:I81" si="16">$B81*C28</f>
        <v>0</v>
      </c>
      <c r="D81" s="42">
        <f t="shared" si="16"/>
        <v>0</v>
      </c>
      <c r="E81" s="42">
        <f t="shared" si="16"/>
        <v>0</v>
      </c>
      <c r="F81" s="42">
        <f t="shared" si="16"/>
        <v>0</v>
      </c>
      <c r="G81" s="42">
        <f t="shared" si="16"/>
        <v>0</v>
      </c>
      <c r="H81" s="42">
        <f t="shared" si="16"/>
        <v>0</v>
      </c>
      <c r="I81" s="42">
        <f t="shared" si="16"/>
        <v>0</v>
      </c>
    </row>
    <row r="82" spans="1:9" x14ac:dyDescent="0.35">
      <c r="A82" s="23">
        <f t="shared" si="0"/>
        <v>0</v>
      </c>
      <c r="B82" s="46"/>
      <c r="C82" s="42">
        <f t="shared" ref="C82:I82" si="17">$B82*C29</f>
        <v>0</v>
      </c>
      <c r="D82" s="42">
        <f t="shared" si="17"/>
        <v>0</v>
      </c>
      <c r="E82" s="42">
        <f t="shared" si="17"/>
        <v>0</v>
      </c>
      <c r="F82" s="42">
        <f t="shared" si="17"/>
        <v>0</v>
      </c>
      <c r="G82" s="42">
        <f t="shared" si="17"/>
        <v>0</v>
      </c>
      <c r="H82" s="42">
        <f t="shared" si="17"/>
        <v>0</v>
      </c>
      <c r="I82" s="42">
        <f t="shared" si="17"/>
        <v>0</v>
      </c>
    </row>
    <row r="83" spans="1:9" x14ac:dyDescent="0.35">
      <c r="A83" s="23">
        <f t="shared" si="0"/>
        <v>0</v>
      </c>
      <c r="B83" s="46"/>
      <c r="C83" s="42">
        <f t="shared" ref="C83:I83" si="18">$B83*C30</f>
        <v>0</v>
      </c>
      <c r="D83" s="42">
        <f t="shared" si="18"/>
        <v>0</v>
      </c>
      <c r="E83" s="42">
        <f t="shared" si="18"/>
        <v>0</v>
      </c>
      <c r="F83" s="42">
        <f t="shared" si="18"/>
        <v>0</v>
      </c>
      <c r="G83" s="42">
        <f t="shared" si="18"/>
        <v>0</v>
      </c>
      <c r="H83" s="42">
        <f t="shared" si="18"/>
        <v>0</v>
      </c>
      <c r="I83" s="42">
        <f t="shared" si="18"/>
        <v>0</v>
      </c>
    </row>
    <row r="84" spans="1:9" x14ac:dyDescent="0.35">
      <c r="A84" s="23">
        <f t="shared" si="0"/>
        <v>0</v>
      </c>
      <c r="B84" s="46"/>
      <c r="C84" s="42">
        <f t="shared" ref="C84:I84" si="19">$B84*C31</f>
        <v>0</v>
      </c>
      <c r="D84" s="42">
        <f t="shared" si="19"/>
        <v>0</v>
      </c>
      <c r="E84" s="42">
        <f t="shared" si="19"/>
        <v>0</v>
      </c>
      <c r="F84" s="42">
        <f t="shared" si="19"/>
        <v>0</v>
      </c>
      <c r="G84" s="42">
        <f t="shared" si="19"/>
        <v>0</v>
      </c>
      <c r="H84" s="42">
        <f t="shared" si="19"/>
        <v>0</v>
      </c>
      <c r="I84" s="42">
        <f t="shared" si="19"/>
        <v>0</v>
      </c>
    </row>
    <row r="85" spans="1:9" x14ac:dyDescent="0.35">
      <c r="A85" s="24" t="str">
        <f t="shared" si="0"/>
        <v>Fruit  &amp; Vegetables Crop Production Details</v>
      </c>
      <c r="B85" s="46"/>
      <c r="C85" s="42"/>
      <c r="D85" s="42"/>
      <c r="E85" s="42"/>
      <c r="F85" s="42"/>
      <c r="G85" s="42"/>
      <c r="H85" s="42"/>
      <c r="I85" s="42"/>
    </row>
    <row r="86" spans="1:9" x14ac:dyDescent="0.35">
      <c r="A86" s="23" t="str">
        <f t="shared" si="0"/>
        <v>Onion</v>
      </c>
      <c r="B86" s="46"/>
      <c r="C86" s="42">
        <f t="shared" ref="C86:I86" si="20">$B86*C33</f>
        <v>0</v>
      </c>
      <c r="D86" s="42">
        <f t="shared" si="20"/>
        <v>0</v>
      </c>
      <c r="E86" s="42">
        <f t="shared" si="20"/>
        <v>0</v>
      </c>
      <c r="F86" s="42">
        <f t="shared" si="20"/>
        <v>0</v>
      </c>
      <c r="G86" s="42">
        <f t="shared" si="20"/>
        <v>0</v>
      </c>
      <c r="H86" s="42">
        <f t="shared" si="20"/>
        <v>0</v>
      </c>
      <c r="I86" s="42">
        <f t="shared" si="20"/>
        <v>0</v>
      </c>
    </row>
    <row r="87" spans="1:9" x14ac:dyDescent="0.35">
      <c r="A87" s="23" t="str">
        <f t="shared" si="0"/>
        <v>Tomato</v>
      </c>
      <c r="B87" s="46"/>
      <c r="C87" s="42">
        <f t="shared" ref="C87:I87" si="21">$B87*C34</f>
        <v>0</v>
      </c>
      <c r="D87" s="42">
        <f t="shared" si="21"/>
        <v>0</v>
      </c>
      <c r="E87" s="42">
        <f t="shared" si="21"/>
        <v>0</v>
      </c>
      <c r="F87" s="42">
        <f t="shared" si="21"/>
        <v>0</v>
      </c>
      <c r="G87" s="42">
        <f t="shared" si="21"/>
        <v>0</v>
      </c>
      <c r="H87" s="42">
        <f t="shared" si="21"/>
        <v>0</v>
      </c>
      <c r="I87" s="42">
        <f t="shared" si="21"/>
        <v>0</v>
      </c>
    </row>
    <row r="88" spans="1:9" x14ac:dyDescent="0.35">
      <c r="A88" s="23" t="str">
        <f t="shared" si="0"/>
        <v>Okra</v>
      </c>
      <c r="B88" s="46"/>
      <c r="C88" s="42">
        <f t="shared" ref="C88:I88" si="22">$B88*C35</f>
        <v>0</v>
      </c>
      <c r="D88" s="42">
        <f t="shared" si="22"/>
        <v>0</v>
      </c>
      <c r="E88" s="42">
        <f t="shared" si="22"/>
        <v>0</v>
      </c>
      <c r="F88" s="42">
        <f t="shared" si="22"/>
        <v>0</v>
      </c>
      <c r="G88" s="42">
        <f t="shared" si="22"/>
        <v>0</v>
      </c>
      <c r="H88" s="42">
        <f t="shared" si="22"/>
        <v>0</v>
      </c>
      <c r="I88" s="42">
        <f t="shared" si="22"/>
        <v>0</v>
      </c>
    </row>
    <row r="89" spans="1:9" x14ac:dyDescent="0.35">
      <c r="A89" s="23" t="str">
        <f t="shared" si="0"/>
        <v>Chilli</v>
      </c>
      <c r="B89" s="46"/>
      <c r="C89" s="42">
        <f t="shared" ref="C89:I89" si="23">$B89*C36</f>
        <v>0</v>
      </c>
      <c r="D89" s="42">
        <f t="shared" si="23"/>
        <v>0</v>
      </c>
      <c r="E89" s="42">
        <f t="shared" si="23"/>
        <v>0</v>
      </c>
      <c r="F89" s="42">
        <f t="shared" si="23"/>
        <v>0</v>
      </c>
      <c r="G89" s="42">
        <f t="shared" si="23"/>
        <v>0</v>
      </c>
      <c r="H89" s="42">
        <f t="shared" si="23"/>
        <v>0</v>
      </c>
      <c r="I89" s="42">
        <f t="shared" si="23"/>
        <v>0</v>
      </c>
    </row>
    <row r="90" spans="1:9" x14ac:dyDescent="0.35">
      <c r="A90" s="23" t="str">
        <f t="shared" si="0"/>
        <v>Potato</v>
      </c>
      <c r="B90" s="46"/>
      <c r="C90" s="42">
        <f t="shared" ref="C90:I90" si="24">$B90*C37</f>
        <v>0</v>
      </c>
      <c r="D90" s="42">
        <f t="shared" si="24"/>
        <v>0</v>
      </c>
      <c r="E90" s="42">
        <f t="shared" si="24"/>
        <v>0</v>
      </c>
      <c r="F90" s="42">
        <f t="shared" si="24"/>
        <v>0</v>
      </c>
      <c r="G90" s="42">
        <f t="shared" si="24"/>
        <v>0</v>
      </c>
      <c r="H90" s="42">
        <f t="shared" si="24"/>
        <v>0</v>
      </c>
      <c r="I90" s="42">
        <f t="shared" si="24"/>
        <v>0</v>
      </c>
    </row>
    <row r="91" spans="1:9" x14ac:dyDescent="0.35">
      <c r="A91" s="23">
        <f t="shared" si="0"/>
        <v>0</v>
      </c>
      <c r="B91" s="46"/>
      <c r="C91" s="42">
        <f t="shared" ref="C91:I91" si="25">$B91*C38</f>
        <v>0</v>
      </c>
      <c r="D91" s="42">
        <f t="shared" si="25"/>
        <v>0</v>
      </c>
      <c r="E91" s="42">
        <f t="shared" si="25"/>
        <v>0</v>
      </c>
      <c r="F91" s="42">
        <f t="shared" si="25"/>
        <v>0</v>
      </c>
      <c r="G91" s="42">
        <f t="shared" si="25"/>
        <v>0</v>
      </c>
      <c r="H91" s="42">
        <f t="shared" si="25"/>
        <v>0</v>
      </c>
      <c r="I91" s="42">
        <f t="shared" si="25"/>
        <v>0</v>
      </c>
    </row>
    <row r="92" spans="1:9" x14ac:dyDescent="0.35">
      <c r="A92" s="23">
        <f t="shared" si="0"/>
        <v>0</v>
      </c>
      <c r="B92" s="46"/>
      <c r="C92" s="42">
        <f t="shared" ref="C92:I92" si="26">$B92*C39</f>
        <v>0</v>
      </c>
      <c r="D92" s="42">
        <f t="shared" si="26"/>
        <v>0</v>
      </c>
      <c r="E92" s="42">
        <f t="shared" si="26"/>
        <v>0</v>
      </c>
      <c r="F92" s="42">
        <f t="shared" si="26"/>
        <v>0</v>
      </c>
      <c r="G92" s="42">
        <f t="shared" si="26"/>
        <v>0</v>
      </c>
      <c r="H92" s="42">
        <f t="shared" si="26"/>
        <v>0</v>
      </c>
      <c r="I92" s="42">
        <f t="shared" si="26"/>
        <v>0</v>
      </c>
    </row>
    <row r="93" spans="1:9" x14ac:dyDescent="0.35">
      <c r="A93" s="23">
        <f t="shared" ref="A93:A110" si="27">A40</f>
        <v>0</v>
      </c>
      <c r="B93" s="46"/>
      <c r="C93" s="42">
        <f t="shared" ref="C93:I93" si="28">$B93*C40</f>
        <v>0</v>
      </c>
      <c r="D93" s="42">
        <f t="shared" si="28"/>
        <v>0</v>
      </c>
      <c r="E93" s="42">
        <f t="shared" si="28"/>
        <v>0</v>
      </c>
      <c r="F93" s="42">
        <f t="shared" si="28"/>
        <v>0</v>
      </c>
      <c r="G93" s="42">
        <f t="shared" si="28"/>
        <v>0</v>
      </c>
      <c r="H93" s="42">
        <f t="shared" si="28"/>
        <v>0</v>
      </c>
      <c r="I93" s="42">
        <f t="shared" si="28"/>
        <v>0</v>
      </c>
    </row>
    <row r="94" spans="1:9" x14ac:dyDescent="0.35">
      <c r="A94" s="23">
        <f t="shared" si="27"/>
        <v>0</v>
      </c>
      <c r="B94" s="46"/>
      <c r="C94" s="42">
        <f t="shared" ref="C94:I94" si="29">$B94*C41</f>
        <v>0</v>
      </c>
      <c r="D94" s="42">
        <f t="shared" si="29"/>
        <v>0</v>
      </c>
      <c r="E94" s="42">
        <f t="shared" si="29"/>
        <v>0</v>
      </c>
      <c r="F94" s="42">
        <f t="shared" si="29"/>
        <v>0</v>
      </c>
      <c r="G94" s="42">
        <f t="shared" si="29"/>
        <v>0</v>
      </c>
      <c r="H94" s="42">
        <f t="shared" si="29"/>
        <v>0</v>
      </c>
      <c r="I94" s="42">
        <f t="shared" si="29"/>
        <v>0</v>
      </c>
    </row>
    <row r="95" spans="1:9" x14ac:dyDescent="0.35">
      <c r="A95" s="23" t="str">
        <f t="shared" si="27"/>
        <v>Onion</v>
      </c>
      <c r="B95" s="46"/>
      <c r="C95" s="42">
        <f t="shared" ref="C95:I95" si="30">$B95*C42</f>
        <v>0</v>
      </c>
      <c r="D95" s="42">
        <f t="shared" si="30"/>
        <v>0</v>
      </c>
      <c r="E95" s="42">
        <f t="shared" si="30"/>
        <v>0</v>
      </c>
      <c r="F95" s="42">
        <f t="shared" si="30"/>
        <v>0</v>
      </c>
      <c r="G95" s="42">
        <f t="shared" si="30"/>
        <v>0</v>
      </c>
      <c r="H95" s="42">
        <f t="shared" si="30"/>
        <v>0</v>
      </c>
      <c r="I95" s="42">
        <f t="shared" si="30"/>
        <v>0</v>
      </c>
    </row>
    <row r="96" spans="1:9" x14ac:dyDescent="0.35">
      <c r="A96" s="23" t="str">
        <f t="shared" si="27"/>
        <v>Tomato</v>
      </c>
      <c r="B96" s="46"/>
      <c r="C96" s="42">
        <f t="shared" ref="C96:I96" si="31">$B96*C43</f>
        <v>0</v>
      </c>
      <c r="D96" s="42">
        <f t="shared" si="31"/>
        <v>0</v>
      </c>
      <c r="E96" s="42">
        <f t="shared" si="31"/>
        <v>0</v>
      </c>
      <c r="F96" s="42">
        <f t="shared" si="31"/>
        <v>0</v>
      </c>
      <c r="G96" s="42">
        <f t="shared" si="31"/>
        <v>0</v>
      </c>
      <c r="H96" s="42">
        <f t="shared" si="31"/>
        <v>0</v>
      </c>
      <c r="I96" s="42">
        <f t="shared" si="31"/>
        <v>0</v>
      </c>
    </row>
    <row r="97" spans="1:9" x14ac:dyDescent="0.35">
      <c r="A97" s="23" t="str">
        <f t="shared" si="27"/>
        <v>Okra</v>
      </c>
      <c r="B97" s="46"/>
      <c r="C97" s="42">
        <f t="shared" ref="C97:I97" si="32">$B97*C44</f>
        <v>0</v>
      </c>
      <c r="D97" s="42">
        <f t="shared" si="32"/>
        <v>0</v>
      </c>
      <c r="E97" s="42">
        <f t="shared" si="32"/>
        <v>0</v>
      </c>
      <c r="F97" s="42">
        <f t="shared" si="32"/>
        <v>0</v>
      </c>
      <c r="G97" s="42">
        <f t="shared" si="32"/>
        <v>0</v>
      </c>
      <c r="H97" s="42">
        <f t="shared" si="32"/>
        <v>0</v>
      </c>
      <c r="I97" s="42">
        <f t="shared" si="32"/>
        <v>0</v>
      </c>
    </row>
    <row r="98" spans="1:9" x14ac:dyDescent="0.35">
      <c r="A98" s="23" t="str">
        <f t="shared" si="27"/>
        <v>Chilli</v>
      </c>
      <c r="B98" s="46"/>
      <c r="C98" s="42">
        <f t="shared" ref="C98:I98" si="33">$B98*C45</f>
        <v>0</v>
      </c>
      <c r="D98" s="42">
        <f t="shared" si="33"/>
        <v>0</v>
      </c>
      <c r="E98" s="42">
        <f t="shared" si="33"/>
        <v>0</v>
      </c>
      <c r="F98" s="42">
        <f t="shared" si="33"/>
        <v>0</v>
      </c>
      <c r="G98" s="42">
        <f t="shared" si="33"/>
        <v>0</v>
      </c>
      <c r="H98" s="42">
        <f t="shared" si="33"/>
        <v>0</v>
      </c>
      <c r="I98" s="42">
        <f t="shared" si="33"/>
        <v>0</v>
      </c>
    </row>
    <row r="99" spans="1:9" x14ac:dyDescent="0.35">
      <c r="A99" s="23" t="str">
        <f t="shared" si="27"/>
        <v>Brinjal</v>
      </c>
      <c r="B99" s="46"/>
      <c r="C99" s="42">
        <f t="shared" ref="C99:I99" si="34">$B99*C46</f>
        <v>0</v>
      </c>
      <c r="D99" s="42">
        <f t="shared" si="34"/>
        <v>0</v>
      </c>
      <c r="E99" s="42">
        <f t="shared" si="34"/>
        <v>0</v>
      </c>
      <c r="F99" s="42">
        <f t="shared" si="34"/>
        <v>0</v>
      </c>
      <c r="G99" s="42">
        <f t="shared" si="34"/>
        <v>0</v>
      </c>
      <c r="H99" s="42">
        <f t="shared" si="34"/>
        <v>0</v>
      </c>
      <c r="I99" s="42">
        <f t="shared" si="34"/>
        <v>0</v>
      </c>
    </row>
    <row r="100" spans="1:9" x14ac:dyDescent="0.35">
      <c r="A100" s="23">
        <f t="shared" si="27"/>
        <v>0</v>
      </c>
      <c r="B100" s="46"/>
      <c r="C100" s="42">
        <f t="shared" ref="C100:I100" si="35">$B100*C47</f>
        <v>0</v>
      </c>
      <c r="D100" s="42">
        <f t="shared" si="35"/>
        <v>0</v>
      </c>
      <c r="E100" s="42">
        <f t="shared" si="35"/>
        <v>0</v>
      </c>
      <c r="F100" s="42">
        <f t="shared" si="35"/>
        <v>0</v>
      </c>
      <c r="G100" s="42">
        <f t="shared" si="35"/>
        <v>0</v>
      </c>
      <c r="H100" s="42">
        <f t="shared" si="35"/>
        <v>0</v>
      </c>
      <c r="I100" s="42">
        <f t="shared" si="35"/>
        <v>0</v>
      </c>
    </row>
    <row r="101" spans="1:9" x14ac:dyDescent="0.35">
      <c r="A101" s="23">
        <f t="shared" si="27"/>
        <v>0</v>
      </c>
      <c r="B101" s="46"/>
      <c r="C101" s="42">
        <f t="shared" ref="C101:I101" si="36">$B101*C48</f>
        <v>0</v>
      </c>
      <c r="D101" s="42">
        <f t="shared" si="36"/>
        <v>0</v>
      </c>
      <c r="E101" s="42">
        <f t="shared" si="36"/>
        <v>0</v>
      </c>
      <c r="F101" s="42">
        <f t="shared" si="36"/>
        <v>0</v>
      </c>
      <c r="G101" s="42">
        <f t="shared" si="36"/>
        <v>0</v>
      </c>
      <c r="H101" s="42">
        <f t="shared" si="36"/>
        <v>0</v>
      </c>
      <c r="I101" s="42">
        <f t="shared" si="36"/>
        <v>0</v>
      </c>
    </row>
    <row r="102" spans="1:9" x14ac:dyDescent="0.35">
      <c r="A102" s="23">
        <f t="shared" si="27"/>
        <v>0</v>
      </c>
      <c r="B102" s="46"/>
      <c r="C102" s="42">
        <f t="shared" ref="C102:I102" si="37">$B102*C49</f>
        <v>0</v>
      </c>
      <c r="D102" s="42">
        <f t="shared" si="37"/>
        <v>0</v>
      </c>
      <c r="E102" s="42">
        <f t="shared" si="37"/>
        <v>0</v>
      </c>
      <c r="F102" s="42">
        <f t="shared" si="37"/>
        <v>0</v>
      </c>
      <c r="G102" s="42">
        <f t="shared" si="37"/>
        <v>0</v>
      </c>
      <c r="H102" s="42">
        <f t="shared" si="37"/>
        <v>0</v>
      </c>
      <c r="I102" s="42">
        <f t="shared" si="37"/>
        <v>0</v>
      </c>
    </row>
    <row r="103" spans="1:9" x14ac:dyDescent="0.35">
      <c r="A103" s="23">
        <f t="shared" si="27"/>
        <v>0</v>
      </c>
      <c r="B103" s="46"/>
      <c r="C103" s="42">
        <f t="shared" ref="C103:I103" si="38">$B103*C50</f>
        <v>0</v>
      </c>
      <c r="D103" s="42">
        <f t="shared" si="38"/>
        <v>0</v>
      </c>
      <c r="E103" s="42">
        <f t="shared" si="38"/>
        <v>0</v>
      </c>
      <c r="F103" s="42">
        <f t="shared" si="38"/>
        <v>0</v>
      </c>
      <c r="G103" s="42">
        <f t="shared" si="38"/>
        <v>0</v>
      </c>
      <c r="H103" s="42">
        <f t="shared" si="38"/>
        <v>0</v>
      </c>
      <c r="I103" s="42">
        <f t="shared" si="38"/>
        <v>0</v>
      </c>
    </row>
    <row r="104" spans="1:9" x14ac:dyDescent="0.35">
      <c r="A104" s="23">
        <f t="shared" si="27"/>
        <v>0</v>
      </c>
      <c r="B104" s="46"/>
      <c r="C104" s="42">
        <f t="shared" ref="C104:I104" si="39">$B104*C51</f>
        <v>0</v>
      </c>
      <c r="D104" s="42">
        <f t="shared" si="39"/>
        <v>0</v>
      </c>
      <c r="E104" s="42">
        <f t="shared" si="39"/>
        <v>0</v>
      </c>
      <c r="F104" s="42">
        <f t="shared" si="39"/>
        <v>0</v>
      </c>
      <c r="G104" s="42">
        <f t="shared" si="39"/>
        <v>0</v>
      </c>
      <c r="H104" s="42">
        <f t="shared" si="39"/>
        <v>0</v>
      </c>
      <c r="I104" s="42">
        <f t="shared" si="39"/>
        <v>0</v>
      </c>
    </row>
    <row r="105" spans="1:9" x14ac:dyDescent="0.35">
      <c r="A105" s="23">
        <f t="shared" si="27"/>
        <v>0</v>
      </c>
      <c r="B105" s="46"/>
      <c r="C105" s="42">
        <f t="shared" ref="C105:I105" si="40">$B105*C52</f>
        <v>0</v>
      </c>
      <c r="D105" s="42">
        <f t="shared" si="40"/>
        <v>0</v>
      </c>
      <c r="E105" s="42">
        <f t="shared" si="40"/>
        <v>0</v>
      </c>
      <c r="F105" s="42">
        <f t="shared" si="40"/>
        <v>0</v>
      </c>
      <c r="G105" s="42">
        <f t="shared" si="40"/>
        <v>0</v>
      </c>
      <c r="H105" s="42">
        <f t="shared" si="40"/>
        <v>0</v>
      </c>
      <c r="I105" s="42">
        <f t="shared" si="40"/>
        <v>0</v>
      </c>
    </row>
    <row r="106" spans="1:9" x14ac:dyDescent="0.35">
      <c r="A106" s="23">
        <f t="shared" si="27"/>
        <v>0</v>
      </c>
      <c r="B106" s="46"/>
      <c r="C106" s="42">
        <f t="shared" ref="C106:I106" si="41">$B106*C53</f>
        <v>0</v>
      </c>
      <c r="D106" s="42">
        <f t="shared" si="41"/>
        <v>0</v>
      </c>
      <c r="E106" s="42">
        <f t="shared" si="41"/>
        <v>0</v>
      </c>
      <c r="F106" s="42">
        <f t="shared" si="41"/>
        <v>0</v>
      </c>
      <c r="G106" s="42">
        <f t="shared" si="41"/>
        <v>0</v>
      </c>
      <c r="H106" s="42">
        <f t="shared" si="41"/>
        <v>0</v>
      </c>
      <c r="I106" s="42">
        <f t="shared" si="41"/>
        <v>0</v>
      </c>
    </row>
    <row r="107" spans="1:9" x14ac:dyDescent="0.35">
      <c r="A107" s="23" t="str">
        <f t="shared" si="27"/>
        <v>Pomegranate</v>
      </c>
      <c r="B107" s="46"/>
      <c r="C107" s="42">
        <f t="shared" ref="C107:I107" si="42">$B107*C54</f>
        <v>0</v>
      </c>
      <c r="D107" s="42">
        <f t="shared" si="42"/>
        <v>0</v>
      </c>
      <c r="E107" s="42">
        <f t="shared" si="42"/>
        <v>0</v>
      </c>
      <c r="F107" s="42">
        <f t="shared" si="42"/>
        <v>0</v>
      </c>
      <c r="G107" s="42">
        <f t="shared" si="42"/>
        <v>0</v>
      </c>
      <c r="H107" s="42">
        <f t="shared" si="42"/>
        <v>0</v>
      </c>
      <c r="I107" s="42">
        <f t="shared" si="42"/>
        <v>0</v>
      </c>
    </row>
    <row r="108" spans="1:9" x14ac:dyDescent="0.35">
      <c r="A108" s="23" t="str">
        <f t="shared" si="27"/>
        <v>Custard Apple</v>
      </c>
      <c r="B108" s="46"/>
      <c r="C108" s="42">
        <f t="shared" ref="C108:I108" si="43">$B108*C55</f>
        <v>0</v>
      </c>
      <c r="D108" s="42">
        <f t="shared" si="43"/>
        <v>0</v>
      </c>
      <c r="E108" s="42">
        <f t="shared" si="43"/>
        <v>0</v>
      </c>
      <c r="F108" s="42">
        <f t="shared" si="43"/>
        <v>0</v>
      </c>
      <c r="G108" s="42">
        <f t="shared" si="43"/>
        <v>0</v>
      </c>
      <c r="H108" s="42">
        <f t="shared" si="43"/>
        <v>0</v>
      </c>
      <c r="I108" s="42">
        <f t="shared" si="43"/>
        <v>0</v>
      </c>
    </row>
    <row r="109" spans="1:9" x14ac:dyDescent="0.35">
      <c r="A109" s="23" t="str">
        <f t="shared" si="27"/>
        <v>Guava</v>
      </c>
      <c r="B109" s="46"/>
      <c r="C109" s="42">
        <f t="shared" ref="C109:I109" si="44">$B109*C56</f>
        <v>0</v>
      </c>
      <c r="D109" s="42">
        <f t="shared" si="44"/>
        <v>0</v>
      </c>
      <c r="E109" s="42">
        <f t="shared" si="44"/>
        <v>0</v>
      </c>
      <c r="F109" s="42">
        <f t="shared" si="44"/>
        <v>0</v>
      </c>
      <c r="G109" s="42">
        <f t="shared" si="44"/>
        <v>0</v>
      </c>
      <c r="H109" s="42">
        <f t="shared" si="44"/>
        <v>0</v>
      </c>
      <c r="I109" s="42">
        <f t="shared" si="44"/>
        <v>0</v>
      </c>
    </row>
    <row r="110" spans="1:9" x14ac:dyDescent="0.35">
      <c r="A110" s="23" t="str">
        <f t="shared" si="27"/>
        <v>Citrus</v>
      </c>
      <c r="B110" s="46"/>
      <c r="C110" s="42">
        <f t="shared" ref="C110:I110" si="45">$B110*C57</f>
        <v>0</v>
      </c>
      <c r="D110" s="42">
        <f t="shared" si="45"/>
        <v>0</v>
      </c>
      <c r="E110" s="42">
        <f t="shared" si="45"/>
        <v>0</v>
      </c>
      <c r="F110" s="42">
        <f t="shared" si="45"/>
        <v>0</v>
      </c>
      <c r="G110" s="42">
        <f t="shared" si="45"/>
        <v>0</v>
      </c>
      <c r="H110" s="42">
        <f t="shared" si="45"/>
        <v>0</v>
      </c>
      <c r="I110" s="42">
        <f t="shared" si="45"/>
        <v>0</v>
      </c>
    </row>
    <row r="111" spans="1:9" x14ac:dyDescent="0.35">
      <c r="A111" s="23"/>
      <c r="B111" s="46"/>
      <c r="C111" s="42"/>
      <c r="D111" s="42"/>
      <c r="E111" s="42"/>
      <c r="F111" s="42"/>
      <c r="G111" s="42"/>
      <c r="H111" s="42"/>
      <c r="I111" s="42"/>
    </row>
    <row r="112" spans="1:9" x14ac:dyDescent="0.35">
      <c r="A112" s="23"/>
      <c r="B112" s="46"/>
      <c r="C112" s="42"/>
      <c r="D112" s="42"/>
      <c r="E112" s="42"/>
      <c r="F112" s="42"/>
      <c r="G112" s="42"/>
      <c r="H112" s="42"/>
      <c r="I112" s="42"/>
    </row>
    <row r="113" spans="1:23" x14ac:dyDescent="0.35">
      <c r="A113" s="24" t="s">
        <v>181</v>
      </c>
      <c r="B113" s="23"/>
      <c r="C113" s="23"/>
      <c r="D113" s="23"/>
      <c r="E113" s="23"/>
      <c r="F113" s="23"/>
      <c r="G113" s="23"/>
      <c r="H113" s="23"/>
      <c r="I113" s="23"/>
    </row>
    <row r="114" spans="1:23" x14ac:dyDescent="0.35">
      <c r="A114" s="23" t="s">
        <v>401</v>
      </c>
      <c r="B114" s="46">
        <v>0</v>
      </c>
      <c r="C114" s="42">
        <f>SUM(C62:C110)*$B$114</f>
        <v>0</v>
      </c>
      <c r="D114" s="42">
        <f t="shared" ref="D114:I114" si="46">SUM(D62:D110)*$B$114</f>
        <v>0</v>
      </c>
      <c r="E114" s="42">
        <f t="shared" si="46"/>
        <v>0</v>
      </c>
      <c r="F114" s="42">
        <f t="shared" si="46"/>
        <v>0</v>
      </c>
      <c r="G114" s="42">
        <f t="shared" si="46"/>
        <v>0</v>
      </c>
      <c r="H114" s="42">
        <f t="shared" si="46"/>
        <v>0</v>
      </c>
      <c r="I114" s="42">
        <f t="shared" si="46"/>
        <v>0</v>
      </c>
    </row>
    <row r="115" spans="1:23" x14ac:dyDescent="0.35">
      <c r="A115" s="23" t="s">
        <v>175</v>
      </c>
      <c r="B115" s="46">
        <v>0</v>
      </c>
      <c r="C115" s="42">
        <f>SUM(C62:C110)*$B$115</f>
        <v>0</v>
      </c>
      <c r="D115" s="42">
        <f t="shared" ref="D115:I115" si="47">SUM(D62:D110)*$B$115</f>
        <v>0</v>
      </c>
      <c r="E115" s="42">
        <f t="shared" si="47"/>
        <v>0</v>
      </c>
      <c r="F115" s="42">
        <f t="shared" si="47"/>
        <v>0</v>
      </c>
      <c r="G115" s="42">
        <f t="shared" si="47"/>
        <v>0</v>
      </c>
      <c r="H115" s="42">
        <f t="shared" si="47"/>
        <v>0</v>
      </c>
      <c r="I115" s="42">
        <f t="shared" si="47"/>
        <v>0</v>
      </c>
    </row>
    <row r="116" spans="1:23" x14ac:dyDescent="0.35">
      <c r="A116" s="23" t="s">
        <v>177</v>
      </c>
      <c r="B116" s="46">
        <v>0</v>
      </c>
      <c r="C116" s="42">
        <f>SUM(C62:C110)*$B$116</f>
        <v>0</v>
      </c>
      <c r="D116" s="42">
        <f t="shared" ref="D116:I116" si="48">SUM(D62:D110)*$B$116</f>
        <v>0</v>
      </c>
      <c r="E116" s="42">
        <f t="shared" si="48"/>
        <v>0</v>
      </c>
      <c r="F116" s="42">
        <f t="shared" si="48"/>
        <v>0</v>
      </c>
      <c r="G116" s="42">
        <f t="shared" si="48"/>
        <v>0</v>
      </c>
      <c r="H116" s="42">
        <f t="shared" si="48"/>
        <v>0</v>
      </c>
      <c r="I116" s="42">
        <f t="shared" si="48"/>
        <v>0</v>
      </c>
    </row>
    <row r="117" spans="1:23" x14ac:dyDescent="0.35">
      <c r="A117" s="24" t="s">
        <v>176</v>
      </c>
      <c r="B117" s="46"/>
      <c r="C117" s="23"/>
      <c r="D117" s="23"/>
      <c r="E117" s="23"/>
      <c r="F117" s="23"/>
      <c r="G117" s="23"/>
      <c r="H117" s="23"/>
      <c r="I117" s="23"/>
    </row>
    <row r="118" spans="1:23" x14ac:dyDescent="0.35">
      <c r="A118" s="23" t="s">
        <v>182</v>
      </c>
      <c r="B118" s="46">
        <v>0</v>
      </c>
      <c r="C118" s="42">
        <f>SUM(C62:C110)*$B$118</f>
        <v>0</v>
      </c>
      <c r="D118" s="42">
        <f t="shared" ref="D118:I118" si="49">SUM(D62:D110)*$B$118</f>
        <v>0</v>
      </c>
      <c r="E118" s="42">
        <f t="shared" si="49"/>
        <v>0</v>
      </c>
      <c r="F118" s="42">
        <f t="shared" si="49"/>
        <v>0</v>
      </c>
      <c r="G118" s="42">
        <f t="shared" si="49"/>
        <v>0</v>
      </c>
      <c r="H118" s="42">
        <f t="shared" si="49"/>
        <v>0</v>
      </c>
      <c r="I118" s="42">
        <f t="shared" si="49"/>
        <v>0</v>
      </c>
    </row>
    <row r="119" spans="1:23" x14ac:dyDescent="0.35">
      <c r="A119" s="23" t="s">
        <v>183</v>
      </c>
      <c r="B119" s="46">
        <v>0</v>
      </c>
      <c r="C119" s="42">
        <f>SUM(C62:C110)*$B$119</f>
        <v>0</v>
      </c>
      <c r="D119" s="42">
        <f t="shared" ref="D119:I119" si="50">SUM(D62:D110)*$B$119</f>
        <v>0</v>
      </c>
      <c r="E119" s="42">
        <f t="shared" si="50"/>
        <v>0</v>
      </c>
      <c r="F119" s="42">
        <f t="shared" si="50"/>
        <v>0</v>
      </c>
      <c r="G119" s="42">
        <f t="shared" si="50"/>
        <v>0</v>
      </c>
      <c r="H119" s="42">
        <f t="shared" si="50"/>
        <v>0</v>
      </c>
      <c r="I119" s="42">
        <f t="shared" si="50"/>
        <v>0</v>
      </c>
    </row>
    <row r="122" spans="1:23" ht="17.5" x14ac:dyDescent="0.35">
      <c r="A122" s="477" t="s">
        <v>576</v>
      </c>
      <c r="B122" s="477"/>
      <c r="C122" s="477"/>
      <c r="D122" s="477"/>
      <c r="E122" s="477"/>
      <c r="F122" s="477"/>
      <c r="G122" s="477"/>
      <c r="H122" s="477"/>
      <c r="I122" s="477"/>
      <c r="J122" s="477"/>
    </row>
    <row r="123" spans="1:23" x14ac:dyDescent="0.35">
      <c r="A123" s="11"/>
      <c r="B123" s="14"/>
      <c r="C123" s="11"/>
      <c r="D123" s="11"/>
      <c r="E123" s="11"/>
      <c r="F123" s="11"/>
      <c r="G123" s="11"/>
      <c r="H123" s="11"/>
    </row>
    <row r="124" spans="1:23" x14ac:dyDescent="0.35">
      <c r="A124" s="36"/>
      <c r="B124" s="36"/>
      <c r="C124" s="36"/>
      <c r="D124" s="37">
        <v>1</v>
      </c>
      <c r="E124" s="38">
        <f>(D124*5%)+D124</f>
        <v>1.05</v>
      </c>
      <c r="F124" s="38">
        <f t="shared" ref="F124:J124" si="51">(E124*5%)+E124</f>
        <v>1.1025</v>
      </c>
      <c r="G124" s="38">
        <f t="shared" si="51"/>
        <v>1.1576250000000001</v>
      </c>
      <c r="H124" s="38">
        <f t="shared" si="51"/>
        <v>1.2155062500000002</v>
      </c>
      <c r="I124" s="38">
        <f t="shared" si="51"/>
        <v>1.2762815625000004</v>
      </c>
      <c r="J124" s="38">
        <f t="shared" si="51"/>
        <v>1.3400956406250004</v>
      </c>
      <c r="K124" s="19"/>
      <c r="U124" s="19"/>
      <c r="V124" s="19"/>
      <c r="W124" s="19"/>
    </row>
    <row r="125" spans="1:23" x14ac:dyDescent="0.35">
      <c r="A125" s="19"/>
      <c r="B125" s="19"/>
      <c r="C125" s="19"/>
      <c r="D125" s="19"/>
      <c r="E125" s="19"/>
      <c r="F125" s="19"/>
      <c r="G125" s="19"/>
      <c r="H125" s="19"/>
      <c r="I125" s="19"/>
      <c r="J125" s="19"/>
      <c r="K125" s="19"/>
      <c r="U125" s="19"/>
      <c r="V125" s="19"/>
      <c r="W125" s="19"/>
    </row>
    <row r="126" spans="1:23" x14ac:dyDescent="0.35">
      <c r="A126" s="30" t="s">
        <v>0</v>
      </c>
      <c r="B126" s="30" t="s">
        <v>131</v>
      </c>
      <c r="C126" s="30" t="s">
        <v>149</v>
      </c>
      <c r="D126" s="29" t="s">
        <v>2</v>
      </c>
      <c r="E126" s="29" t="s">
        <v>3</v>
      </c>
      <c r="F126" s="29" t="s">
        <v>4</v>
      </c>
      <c r="G126" s="29" t="s">
        <v>5</v>
      </c>
      <c r="H126" s="29" t="s">
        <v>6</v>
      </c>
      <c r="I126" s="29" t="s">
        <v>165</v>
      </c>
      <c r="J126" s="29" t="s">
        <v>164</v>
      </c>
      <c r="K126" s="19"/>
      <c r="U126" s="19"/>
      <c r="V126" s="19"/>
      <c r="W126" s="19"/>
    </row>
    <row r="127" spans="1:23" x14ac:dyDescent="0.35">
      <c r="A127" s="22" t="s">
        <v>126</v>
      </c>
      <c r="B127" s="20"/>
      <c r="C127" s="20"/>
      <c r="D127" s="20"/>
      <c r="E127" s="20"/>
      <c r="F127" s="20"/>
      <c r="G127" s="20"/>
      <c r="H127" s="20"/>
      <c r="I127" s="20"/>
      <c r="J127" s="20"/>
      <c r="K127" s="19"/>
      <c r="U127" s="19"/>
      <c r="V127" s="19"/>
      <c r="W127" s="19"/>
    </row>
    <row r="128" spans="1:23" x14ac:dyDescent="0.35">
      <c r="A128" s="20" t="s">
        <v>284</v>
      </c>
      <c r="B128" s="20"/>
      <c r="C128" s="20"/>
      <c r="D128" s="20"/>
      <c r="E128" s="20"/>
      <c r="F128" s="20"/>
      <c r="G128" s="20"/>
      <c r="H128" s="20"/>
      <c r="I128" s="20"/>
      <c r="J128" s="20"/>
      <c r="K128" s="19"/>
      <c r="U128" s="19"/>
      <c r="V128" s="19"/>
      <c r="W128" s="19"/>
    </row>
    <row r="129" spans="1:23" x14ac:dyDescent="0.35">
      <c r="A129" s="22" t="str">
        <f t="shared" ref="A129:A160" si="52">A8</f>
        <v>Kharif Crops</v>
      </c>
      <c r="B129" s="20"/>
      <c r="C129" s="20"/>
      <c r="D129" s="20"/>
      <c r="E129" s="20"/>
      <c r="F129" s="20"/>
      <c r="G129" s="20"/>
      <c r="H129" s="20"/>
      <c r="I129" s="20"/>
      <c r="J129" s="20"/>
      <c r="K129" s="19"/>
      <c r="U129" s="19"/>
      <c r="V129" s="19"/>
      <c r="W129" s="19"/>
    </row>
    <row r="130" spans="1:23" x14ac:dyDescent="0.35">
      <c r="A130" s="20" t="str">
        <f t="shared" si="52"/>
        <v>Soybean</v>
      </c>
      <c r="B130" s="20"/>
      <c r="C130" s="46">
        <v>90</v>
      </c>
      <c r="D130" s="21">
        <f>(C62*(1-'5.Closing Stock &amp; W Capital'!$D$14))*$C$130*D$124</f>
        <v>0</v>
      </c>
      <c r="E130" s="21">
        <f>(D62*(1-'5.Closing Stock &amp; W Capital'!$D$14))*$C$130*E$124</f>
        <v>0</v>
      </c>
      <c r="F130" s="21">
        <f>(E62*(1-'5.Closing Stock &amp; W Capital'!$D$14))*$C$130*F$124</f>
        <v>0</v>
      </c>
      <c r="G130" s="21">
        <f>(F62*(1-'5.Closing Stock &amp; W Capital'!$D$14))*$C$130*G$124</f>
        <v>0</v>
      </c>
      <c r="H130" s="21">
        <f>(G62*(1-'5.Closing Stock &amp; W Capital'!$D$14))*$C$130*H$124</f>
        <v>0</v>
      </c>
      <c r="I130" s="21">
        <f>(H62*(1-'5.Closing Stock &amp; W Capital'!$D$14))*$C$130*I$124</f>
        <v>0</v>
      </c>
      <c r="J130" s="21">
        <f>(I62*(1-'5.Closing Stock &amp; W Capital'!$D$14))*$C$130*J$124</f>
        <v>0</v>
      </c>
      <c r="K130" s="19"/>
      <c r="U130" s="19"/>
      <c r="V130" s="19"/>
      <c r="W130" s="19"/>
    </row>
    <row r="131" spans="1:23" x14ac:dyDescent="0.35">
      <c r="A131" s="20" t="str">
        <f t="shared" si="52"/>
        <v>Tur</v>
      </c>
      <c r="B131" s="20"/>
      <c r="C131" s="49">
        <v>80</v>
      </c>
      <c r="D131" s="21">
        <f>(C63*(1-'5.Closing Stock &amp; W Capital'!$D$14))*$C$131*D$124</f>
        <v>0</v>
      </c>
      <c r="E131" s="21">
        <f>((D63*(1-'5.Closing Stock &amp; W Capital'!$D$14))+(C63*'5.Closing Stock &amp; W Capital'!$D$14))*$C$131*E$124</f>
        <v>0</v>
      </c>
      <c r="F131" s="21">
        <f>((E63*(1-'5.Closing Stock &amp; W Capital'!$D$14))+(D63*'5.Closing Stock &amp; W Capital'!$D$14))*$C$131*F$124</f>
        <v>0</v>
      </c>
      <c r="G131" s="21">
        <f>((F63*(1-'5.Closing Stock &amp; W Capital'!$D$14))+(E63*'5.Closing Stock &amp; W Capital'!$D$14))*$C$131*G124</f>
        <v>0</v>
      </c>
      <c r="H131" s="21">
        <f>((G63*(1-'5.Closing Stock &amp; W Capital'!$D$14))+(F63*'5.Closing Stock &amp; W Capital'!$D$14))*$C$131*H124</f>
        <v>0</v>
      </c>
      <c r="I131" s="21">
        <f>((H63*(1-'5.Closing Stock &amp; W Capital'!$D$14))+(G63*'5.Closing Stock &amp; W Capital'!$D$14))*$C$131*I124</f>
        <v>0</v>
      </c>
      <c r="J131" s="21">
        <f>((I63*(1-'5.Closing Stock &amp; W Capital'!$D$14))+(H63*'5.Closing Stock &amp; W Capital'!$D$14))*$C$131*J124</f>
        <v>0</v>
      </c>
      <c r="K131" s="19"/>
      <c r="U131" s="31"/>
      <c r="V131" s="19"/>
      <c r="W131" s="19"/>
    </row>
    <row r="132" spans="1:23" x14ac:dyDescent="0.35">
      <c r="A132" s="20" t="str">
        <f t="shared" si="52"/>
        <v>Turmeric</v>
      </c>
      <c r="B132" s="20"/>
      <c r="C132" s="49">
        <v>65</v>
      </c>
      <c r="D132" s="21">
        <f>(C64*(1-'5.Closing Stock &amp; W Capital'!$D$14))*$C$132*D$124</f>
        <v>0</v>
      </c>
      <c r="E132" s="21">
        <f>((D64*(1-'5.Closing Stock &amp; W Capital'!$D$14))+(C64*'5.Closing Stock &amp; W Capital'!$D$14))*$C$132*E$124</f>
        <v>0</v>
      </c>
      <c r="F132" s="21">
        <f>((E64*(1-'5.Closing Stock &amp; W Capital'!$D$14))+(D64*'5.Closing Stock &amp; W Capital'!$D$14))*$C$132*F$124</f>
        <v>0</v>
      </c>
      <c r="G132" s="21">
        <f>((F64*(1-'5.Closing Stock &amp; W Capital'!$D$14))+(E64*'5.Closing Stock &amp; W Capital'!$D$14))*$C$132*G124</f>
        <v>0</v>
      </c>
      <c r="H132" s="21">
        <f>((G64*(1-'5.Closing Stock &amp; W Capital'!$D$14))+(F64*'5.Closing Stock &amp; W Capital'!$D$14))*$C$132*H124</f>
        <v>0</v>
      </c>
      <c r="I132" s="21">
        <f>((H64*(1-'5.Closing Stock &amp; W Capital'!$D$14))+(G64*'5.Closing Stock &amp; W Capital'!$D$14))*$C$132*I124</f>
        <v>0</v>
      </c>
      <c r="J132" s="21">
        <f>((I64*(1-'5.Closing Stock &amp; W Capital'!$D$14))+(H64*'5.Closing Stock &amp; W Capital'!$D$14))*$C$132*J124</f>
        <v>0</v>
      </c>
      <c r="K132" s="19"/>
      <c r="U132" s="19"/>
      <c r="V132" s="19"/>
      <c r="W132" s="19"/>
    </row>
    <row r="133" spans="1:23" x14ac:dyDescent="0.35">
      <c r="A133" s="20" t="str">
        <f t="shared" si="52"/>
        <v>Moong</v>
      </c>
      <c r="B133" s="20"/>
      <c r="C133" s="49">
        <v>85</v>
      </c>
      <c r="D133" s="21">
        <f>(C65*(1-'5.Closing Stock &amp; W Capital'!$D$14))*$C$133*D$124</f>
        <v>0</v>
      </c>
      <c r="E133" s="21">
        <f>((D65*(1-'5.Closing Stock &amp; W Capital'!$D$14))+(C65*'5.Closing Stock &amp; W Capital'!$D$14))*$C$133*E$124</f>
        <v>0</v>
      </c>
      <c r="F133" s="21">
        <f>((E65*(1-'5.Closing Stock &amp; W Capital'!$D$14))+(D65*'5.Closing Stock &amp; W Capital'!$D$14))*$C$133*F$124</f>
        <v>0</v>
      </c>
      <c r="G133" s="21">
        <f>((F65*(1-'5.Closing Stock &amp; W Capital'!$D$14))+(E65*'5.Closing Stock &amp; W Capital'!$D$14))*$C$133*G$124</f>
        <v>0</v>
      </c>
      <c r="H133" s="21">
        <f>((G65*(1-'5.Closing Stock &amp; W Capital'!$D$14))+(F65*'5.Closing Stock &amp; W Capital'!$D$14))*$C$133*H$124</f>
        <v>0</v>
      </c>
      <c r="I133" s="21">
        <f>((H65*(1-'5.Closing Stock &amp; W Capital'!$D$14))+(G65*'5.Closing Stock &amp; W Capital'!$D$14))*$C$133*I$124</f>
        <v>0</v>
      </c>
      <c r="J133" s="21">
        <f>((I65*(1-'5.Closing Stock &amp; W Capital'!$D$14))+(H65*'5.Closing Stock &amp; W Capital'!$D$14))*$C$133*J$124</f>
        <v>0</v>
      </c>
      <c r="K133" s="19"/>
      <c r="U133" s="19"/>
      <c r="V133" s="19"/>
      <c r="W133" s="19"/>
    </row>
    <row r="134" spans="1:23" x14ac:dyDescent="0.35">
      <c r="A134" s="20" t="str">
        <f t="shared" si="52"/>
        <v>Maize</v>
      </c>
      <c r="B134" s="20"/>
      <c r="C134" s="49">
        <v>37</v>
      </c>
      <c r="D134" s="21">
        <f>(C66*(1-'5.Closing Stock &amp; W Capital'!$D$14))*$C$134*D$124</f>
        <v>0</v>
      </c>
      <c r="E134" s="21">
        <f>((D66*(1-'5.Closing Stock &amp; W Capital'!$D$14))+(C66*'5.Closing Stock &amp; W Capital'!$D$14))*$C$135*E$124</f>
        <v>0</v>
      </c>
      <c r="F134" s="21">
        <f>((E66*(1-'5.Closing Stock &amp; W Capital'!$D$14))+(D66*'5.Closing Stock &amp; W Capital'!$D$14))*$C$135*F$124</f>
        <v>0</v>
      </c>
      <c r="G134" s="21">
        <f>((F66*(1-'5.Closing Stock &amp; W Capital'!$D$14))+(E66*'5.Closing Stock &amp; W Capital'!$D$14))*$C$135*G$124</f>
        <v>0</v>
      </c>
      <c r="H134" s="21">
        <f>((G66*(1-'5.Closing Stock &amp; W Capital'!$D$14))+(F66*'5.Closing Stock &amp; W Capital'!$D$14))*$C$135*H$124</f>
        <v>0</v>
      </c>
      <c r="I134" s="21">
        <f>((H66*(1-'5.Closing Stock &amp; W Capital'!$D$14))+(G66*'5.Closing Stock &amp; W Capital'!$D$14))*$C$135*I$124</f>
        <v>0</v>
      </c>
      <c r="J134" s="21">
        <f>((I66*(1-'5.Closing Stock &amp; W Capital'!$D$14))+(H66*'5.Closing Stock &amp; W Capital'!$D$14))*$C$135*J$124</f>
        <v>0</v>
      </c>
      <c r="K134" s="19"/>
      <c r="U134" s="19"/>
      <c r="V134" s="19"/>
      <c r="W134" s="19"/>
    </row>
    <row r="135" spans="1:23" x14ac:dyDescent="0.35">
      <c r="A135" s="20" t="str">
        <f t="shared" si="52"/>
        <v>Udid</v>
      </c>
      <c r="B135" s="20"/>
      <c r="C135" s="49">
        <v>75</v>
      </c>
      <c r="D135" s="21">
        <f>(C67*(1-'5.Closing Stock &amp; W Capital'!$D$14))*$C$135*D$124</f>
        <v>0</v>
      </c>
      <c r="E135" s="21">
        <f>((D67*(1-'5.Closing Stock &amp; W Capital'!$D$14))+(C67*'5.Closing Stock &amp; W Capital'!$D$14))*$C$135*E$124</f>
        <v>0</v>
      </c>
      <c r="F135" s="21">
        <f>((E67*(1-'5.Closing Stock &amp; W Capital'!$D$14))+(D67*'5.Closing Stock &amp; W Capital'!$D$14))*$C$135*F$124</f>
        <v>0</v>
      </c>
      <c r="G135" s="21">
        <f>((F67*(1-'5.Closing Stock &amp; W Capital'!$D$14))+(E67*'5.Closing Stock &amp; W Capital'!$D$14))*$C$135*G$124</f>
        <v>0</v>
      </c>
      <c r="H135" s="21">
        <f>((G67*(1-'5.Closing Stock &amp; W Capital'!$D$14))+(F67*'5.Closing Stock &amp; W Capital'!$D$14))*$C$135*H$124</f>
        <v>0</v>
      </c>
      <c r="I135" s="21">
        <f>((H67*(1-'5.Closing Stock &amp; W Capital'!$D$14))+(G67*'5.Closing Stock &amp; W Capital'!$D$14))*$C$135*I$124</f>
        <v>0</v>
      </c>
      <c r="J135" s="21">
        <f>((I67*(1-'5.Closing Stock &amp; W Capital'!$D$14))+(H67*'5.Closing Stock &amp; W Capital'!$D$14))*$C$135*J$124</f>
        <v>0</v>
      </c>
      <c r="K135" s="19"/>
      <c r="U135" s="19"/>
      <c r="V135" s="19"/>
      <c r="W135" s="19"/>
    </row>
    <row r="136" spans="1:23" x14ac:dyDescent="0.35">
      <c r="A136" s="20" t="str">
        <f t="shared" si="52"/>
        <v>Bajra</v>
      </c>
      <c r="B136" s="20"/>
      <c r="C136" s="49">
        <v>30</v>
      </c>
      <c r="D136" s="21">
        <f>(C68*(1-'5.Closing Stock &amp; W Capital'!$D$14))*$C$136*D$124</f>
        <v>0</v>
      </c>
      <c r="E136" s="21">
        <f>((D68*(1-'5.Closing Stock &amp; W Capital'!$D$14))+(C68*'5.Closing Stock &amp; W Capital'!$D$14))*$C$136*E$124</f>
        <v>0</v>
      </c>
      <c r="F136" s="21">
        <f>((E68*(1-'5.Closing Stock &amp; W Capital'!$D$14))+(D68*'5.Closing Stock &amp; W Capital'!$D$14))*$C$136*F$124</f>
        <v>0</v>
      </c>
      <c r="G136" s="21">
        <f>((F68*(1-'5.Closing Stock &amp; W Capital'!$D$14))+(E68*'5.Closing Stock &amp; W Capital'!$D$14))*$C$136*G$124</f>
        <v>0</v>
      </c>
      <c r="H136" s="21">
        <f>((G68*(1-'5.Closing Stock &amp; W Capital'!$D$14))+(F68*'5.Closing Stock &amp; W Capital'!$D$14))*$C$136*H$124</f>
        <v>0</v>
      </c>
      <c r="I136" s="21">
        <f>((H68*(1-'5.Closing Stock &amp; W Capital'!$D$14))+(G68*'5.Closing Stock &amp; W Capital'!$D$14))*$C$136*I$124</f>
        <v>0</v>
      </c>
      <c r="J136" s="21">
        <f>((I68*(1-'5.Closing Stock &amp; W Capital'!$D$14))+(H68*'5.Closing Stock &amp; W Capital'!$D$14))*$C$136*J$124</f>
        <v>0</v>
      </c>
      <c r="K136" s="19"/>
      <c r="U136" s="19"/>
      <c r="V136" s="19"/>
      <c r="W136" s="19"/>
    </row>
    <row r="137" spans="1:23" x14ac:dyDescent="0.35">
      <c r="A137" s="20" t="str">
        <f t="shared" si="52"/>
        <v>Jawar</v>
      </c>
      <c r="B137" s="20"/>
      <c r="C137" s="49">
        <v>30</v>
      </c>
      <c r="D137" s="21">
        <f>(C69*(1-'5.Closing Stock &amp; W Capital'!$D$14))*$C$137*D$124</f>
        <v>0</v>
      </c>
      <c r="E137" s="21">
        <f>((D69*(1-'5.Closing Stock &amp; W Capital'!$D$14))+(C69*'5.Closing Stock &amp; W Capital'!$D$14))*$C$137*E$124</f>
        <v>0</v>
      </c>
      <c r="F137" s="21">
        <f>((E69*(1-'5.Closing Stock &amp; W Capital'!$D$14))+(D69*'5.Closing Stock &amp; W Capital'!$D$14))*$C$137*F$124</f>
        <v>0</v>
      </c>
      <c r="G137" s="21">
        <f>((F69*(1-'5.Closing Stock &amp; W Capital'!$D$14))+(E69*'5.Closing Stock &amp; W Capital'!$D$14))*$C$137*G$124</f>
        <v>0</v>
      </c>
      <c r="H137" s="21">
        <f>((G69*(1-'5.Closing Stock &amp; W Capital'!$D$14))+(F69*'5.Closing Stock &amp; W Capital'!$D$14))*$C$137*H$124</f>
        <v>0</v>
      </c>
      <c r="I137" s="21">
        <f>((H69*(1-'5.Closing Stock &amp; W Capital'!$D$14))+(G69*'5.Closing Stock &amp; W Capital'!$D$14))*$C$137*I$124</f>
        <v>0</v>
      </c>
      <c r="J137" s="21">
        <f>((I69*(1-'5.Closing Stock &amp; W Capital'!$D$14))+(H69*'5.Closing Stock &amp; W Capital'!$D$14))*$C$137*J$124</f>
        <v>0</v>
      </c>
      <c r="K137" s="19"/>
      <c r="U137" s="19"/>
      <c r="V137" s="19"/>
      <c r="W137" s="19"/>
    </row>
    <row r="138" spans="1:23" x14ac:dyDescent="0.35">
      <c r="A138" s="22" t="str">
        <f t="shared" si="52"/>
        <v>Rabi Crop</v>
      </c>
      <c r="B138" s="20"/>
      <c r="C138" s="49"/>
      <c r="D138" s="21"/>
      <c r="E138" s="21"/>
      <c r="F138" s="21"/>
      <c r="G138" s="21"/>
      <c r="H138" s="21"/>
      <c r="I138" s="21"/>
      <c r="J138" s="21"/>
      <c r="K138" s="19"/>
      <c r="U138" s="19"/>
      <c r="V138" s="19"/>
      <c r="W138" s="19"/>
    </row>
    <row r="139" spans="1:23" x14ac:dyDescent="0.35">
      <c r="A139" s="20" t="str">
        <f t="shared" si="52"/>
        <v>Wheat</v>
      </c>
      <c r="B139" s="20"/>
      <c r="C139" s="49">
        <v>40</v>
      </c>
      <c r="D139" s="21">
        <f>(C71*(1-'5.Closing Stock &amp; W Capital'!$D$14))*$C$139*D$124</f>
        <v>0</v>
      </c>
      <c r="E139" s="21">
        <f>((D71*(1-'5.Closing Stock &amp; W Capital'!$D$14))+(C71*'5.Closing Stock &amp; W Capital'!$D$14))*$C$139*E$124</f>
        <v>0</v>
      </c>
      <c r="F139" s="21">
        <f>((E71*(1-'5.Closing Stock &amp; W Capital'!$D$14))+(D71*'5.Closing Stock &amp; W Capital'!$D$14))*$C$139*F$124</f>
        <v>0</v>
      </c>
      <c r="G139" s="21">
        <f>((F71*(1-'5.Closing Stock &amp; W Capital'!$D$14))+(E71*'5.Closing Stock &amp; W Capital'!$D$14))*$C$139*G$124</f>
        <v>0</v>
      </c>
      <c r="H139" s="21">
        <f>((G71*(1-'5.Closing Stock &amp; W Capital'!$D$14))+(F71*'5.Closing Stock &amp; W Capital'!$D$14))*$C$139*H$124</f>
        <v>0</v>
      </c>
      <c r="I139" s="21">
        <f>((H71*(1-'5.Closing Stock &amp; W Capital'!$D$14))+(G71*'5.Closing Stock &amp; W Capital'!$D$14))*$C$139*I$124</f>
        <v>0</v>
      </c>
      <c r="J139" s="21">
        <f>((I71*(1-'5.Closing Stock &amp; W Capital'!$D$14))+(H71*'5.Closing Stock &amp; W Capital'!$D$14))*$C$139*J$124</f>
        <v>0</v>
      </c>
      <c r="K139" s="19"/>
      <c r="U139" s="19"/>
      <c r="V139" s="19"/>
      <c r="W139" s="19"/>
    </row>
    <row r="140" spans="1:23" x14ac:dyDescent="0.35">
      <c r="A140" s="20" t="str">
        <f t="shared" si="52"/>
        <v>Channa</v>
      </c>
      <c r="B140" s="20"/>
      <c r="C140" s="49">
        <v>75</v>
      </c>
      <c r="D140" s="21">
        <f>(C72*(1-'5.Closing Stock &amp; W Capital'!$D$14))*$C$140*D$124</f>
        <v>0</v>
      </c>
      <c r="E140" s="21">
        <f>((D72*(1-'5.Closing Stock &amp; W Capital'!$D$14))+(C72*'5.Closing Stock &amp; W Capital'!$D$14))*$C$140*E$124</f>
        <v>0</v>
      </c>
      <c r="F140" s="21">
        <f>((E72*(1-'5.Closing Stock &amp; W Capital'!$D$14))+(D72*'5.Closing Stock &amp; W Capital'!$D$14))*$C$140*F$124</f>
        <v>0</v>
      </c>
      <c r="G140" s="21">
        <f>((F72*(1-'5.Closing Stock &amp; W Capital'!$D$14))+(E72*'5.Closing Stock &amp; W Capital'!$D$14))*$C$140*G$124</f>
        <v>0</v>
      </c>
      <c r="H140" s="21">
        <f>((G72*(1-'5.Closing Stock &amp; W Capital'!$D$14))+(F72*'5.Closing Stock &amp; W Capital'!$D$14))*$C$140*H$124</f>
        <v>0</v>
      </c>
      <c r="I140" s="21">
        <f>((H72*(1-'5.Closing Stock &amp; W Capital'!$D$14))+(G72*'5.Closing Stock &amp; W Capital'!$D$14))*$C$140*I$124</f>
        <v>0</v>
      </c>
      <c r="J140" s="21">
        <f>((I72*(1-'5.Closing Stock &amp; W Capital'!$D$14))+(H72*'5.Closing Stock &amp; W Capital'!$D$14))*$C$140*J$124</f>
        <v>0</v>
      </c>
      <c r="K140" s="19"/>
      <c r="U140" s="19"/>
      <c r="V140" s="19"/>
      <c r="W140" s="19"/>
    </row>
    <row r="141" spans="1:23" x14ac:dyDescent="0.35">
      <c r="A141" s="20" t="str">
        <f t="shared" si="52"/>
        <v>Jawar</v>
      </c>
      <c r="B141" s="20"/>
      <c r="C141" s="49">
        <v>27</v>
      </c>
      <c r="D141" s="21">
        <f>(C73*(1-'5.Closing Stock &amp; W Capital'!$D$14))*$C$141*D$124</f>
        <v>0</v>
      </c>
      <c r="E141" s="21">
        <f>((D73*(1-'5.Closing Stock &amp; W Capital'!$D$14))+(C73*'5.Closing Stock &amp; W Capital'!$D$14))*$C$141*E$124</f>
        <v>0</v>
      </c>
      <c r="F141" s="21">
        <f>((E73*(1-'5.Closing Stock &amp; W Capital'!$D$14))+(D73*'5.Closing Stock &amp; W Capital'!$D$14))*$C$141*F$124</f>
        <v>0</v>
      </c>
      <c r="G141" s="21">
        <f>((F73*(1-'5.Closing Stock &amp; W Capital'!$D$14))+(E73*'5.Closing Stock &amp; W Capital'!$D$14))*$C$141*G$124</f>
        <v>0</v>
      </c>
      <c r="H141" s="21">
        <f>((G73*(1-'5.Closing Stock &amp; W Capital'!$D$14))+(F73*'5.Closing Stock &amp; W Capital'!$D$14))*$C$141*H$124</f>
        <v>0</v>
      </c>
      <c r="I141" s="21">
        <f>((H73*(1-'5.Closing Stock &amp; W Capital'!$D$14))+(G73*'5.Closing Stock &amp; W Capital'!$D$14))*$C$141*I$124</f>
        <v>0</v>
      </c>
      <c r="J141" s="21">
        <f>((I73*(1-'5.Closing Stock &amp; W Capital'!$D$14))+(H73*'5.Closing Stock &amp; W Capital'!$D$14))*$C$141*J$124</f>
        <v>0</v>
      </c>
      <c r="K141" s="19"/>
      <c r="U141" s="19"/>
      <c r="V141" s="19"/>
      <c r="W141" s="19"/>
    </row>
    <row r="142" spans="1:23" x14ac:dyDescent="0.35">
      <c r="A142" s="20" t="str">
        <f t="shared" si="52"/>
        <v>Maize</v>
      </c>
      <c r="B142" s="20"/>
      <c r="C142" s="49">
        <v>0</v>
      </c>
      <c r="D142" s="21">
        <f>(C74*(1-'5.Closing Stock &amp; W Capital'!$D$14))*$C$142*D$124</f>
        <v>0</v>
      </c>
      <c r="E142" s="21">
        <f>((D74*(1-'5.Closing Stock &amp; W Capital'!$D$14))+(C74*'5.Closing Stock &amp; W Capital'!$D$14))*$C$142*E$124</f>
        <v>0</v>
      </c>
      <c r="F142" s="21">
        <f>((E74*(1-'5.Closing Stock &amp; W Capital'!$D$14))+(D74*'5.Closing Stock &amp; W Capital'!$D$14))*$C$142*F$124</f>
        <v>0</v>
      </c>
      <c r="G142" s="21">
        <f>((F74*(1-'5.Closing Stock &amp; W Capital'!$D$14))+(E74*'5.Closing Stock &amp; W Capital'!$D$14))*$C$142*G$124</f>
        <v>0</v>
      </c>
      <c r="H142" s="21">
        <f>((G74*(1-'5.Closing Stock &amp; W Capital'!$D$14))+(F74*'5.Closing Stock &amp; W Capital'!$D$14))*$C$142*H$124</f>
        <v>0</v>
      </c>
      <c r="I142" s="21">
        <f>((H74*(1-'5.Closing Stock &amp; W Capital'!$D$14))+(G74*'5.Closing Stock &amp; W Capital'!$D$14))*$C$142*I$124</f>
        <v>0</v>
      </c>
      <c r="J142" s="21">
        <f>((I74*(1-'5.Closing Stock &amp; W Capital'!$D$14))+(H74*'5.Closing Stock &amp; W Capital'!$D$14))*$C$142*J$124</f>
        <v>0</v>
      </c>
      <c r="K142" s="19"/>
      <c r="U142" s="19"/>
      <c r="V142" s="19"/>
      <c r="W142" s="19"/>
    </row>
    <row r="143" spans="1:23" x14ac:dyDescent="0.35">
      <c r="A143" s="20" t="str">
        <f t="shared" si="52"/>
        <v>Safflower</v>
      </c>
      <c r="B143" s="20"/>
      <c r="C143" s="49"/>
      <c r="D143" s="21">
        <f>(C75*(1-'5.Closing Stock &amp; W Capital'!$D$14))*$C$143*D$124</f>
        <v>0</v>
      </c>
      <c r="E143" s="21">
        <f>((D75*(1-'5.Closing Stock &amp; W Capital'!$D$14))+(C75*'5.Closing Stock &amp; W Capital'!$D$14))*$C$143*E$124</f>
        <v>0</v>
      </c>
      <c r="F143" s="21">
        <f>((E75*(1-'5.Closing Stock &amp; W Capital'!$D$14))+(D75*'5.Closing Stock &amp; W Capital'!$D$14))*$C$143*F$124</f>
        <v>0</v>
      </c>
      <c r="G143" s="21">
        <f>((F75*(1-'5.Closing Stock &amp; W Capital'!$D$14))+(E75*'5.Closing Stock &amp; W Capital'!$D$14))*$C$143*G$124</f>
        <v>0</v>
      </c>
      <c r="H143" s="21">
        <f>((G75*(1-'5.Closing Stock &amp; W Capital'!$D$14))+(F75*'5.Closing Stock &amp; W Capital'!$D$14))*$C$143*H$124</f>
        <v>0</v>
      </c>
      <c r="I143" s="21">
        <f>((H75*(1-'5.Closing Stock &amp; W Capital'!$D$14))+(G75*'5.Closing Stock &amp; W Capital'!$D$14))*$C$143*I$124</f>
        <v>0</v>
      </c>
      <c r="J143" s="21">
        <f>((I75*(1-'5.Closing Stock &amp; W Capital'!$D$14))+(H75*'5.Closing Stock &amp; W Capital'!$D$14))*$C$143*J$124</f>
        <v>0</v>
      </c>
      <c r="K143" s="19"/>
      <c r="U143" s="19"/>
      <c r="V143" s="19"/>
      <c r="W143" s="19"/>
    </row>
    <row r="144" spans="1:23" x14ac:dyDescent="0.35">
      <c r="A144" s="20" t="str">
        <f t="shared" si="52"/>
        <v>Groundnut</v>
      </c>
      <c r="B144" s="20"/>
      <c r="C144" s="49"/>
      <c r="D144" s="21">
        <f>(C76*(1-'5.Closing Stock &amp; W Capital'!$D$14))*$C$144*D$124</f>
        <v>0</v>
      </c>
      <c r="E144" s="21">
        <f>((D76*(1-'5.Closing Stock &amp; W Capital'!$D$14))+(C76*'5.Closing Stock &amp; W Capital'!$D$14))*$C$144*E$124</f>
        <v>0</v>
      </c>
      <c r="F144" s="21">
        <f>((E76*(1-'5.Closing Stock &amp; W Capital'!$D$14))+(D76*'5.Closing Stock &amp; W Capital'!$D$14))*$C$144*F$124</f>
        <v>0</v>
      </c>
      <c r="G144" s="21">
        <f>((F76*(1-'5.Closing Stock &amp; W Capital'!$D$14))+(E76*'5.Closing Stock &amp; W Capital'!$D$14))*$C$144*G$124</f>
        <v>0</v>
      </c>
      <c r="H144" s="21">
        <f>((G76*(1-'5.Closing Stock &amp; W Capital'!$D$14))+(F76*'5.Closing Stock &amp; W Capital'!$D$14))*$C$144*H$124</f>
        <v>0</v>
      </c>
      <c r="I144" s="21">
        <f>((H76*(1-'5.Closing Stock &amp; W Capital'!$D$14))+(G76*'5.Closing Stock &amp; W Capital'!$D$14))*$C$144*I$124</f>
        <v>0</v>
      </c>
      <c r="J144" s="21">
        <f>((I76*(1-'5.Closing Stock &amp; W Capital'!$D$14))+(H76*'5.Closing Stock &amp; W Capital'!$D$14))*$C$144*J$124</f>
        <v>0</v>
      </c>
      <c r="K144" s="19"/>
      <c r="U144" s="19"/>
      <c r="V144" s="19"/>
      <c r="W144" s="19"/>
    </row>
    <row r="145" spans="1:23" x14ac:dyDescent="0.35">
      <c r="A145" s="20">
        <f t="shared" si="52"/>
        <v>0</v>
      </c>
      <c r="B145" s="20"/>
      <c r="C145" s="49"/>
      <c r="D145" s="21">
        <f>(C77*(1-'5.Closing Stock &amp; W Capital'!$D$14))*$C$145*D$124</f>
        <v>0</v>
      </c>
      <c r="E145" s="21">
        <f>((D77*(1-'5.Closing Stock &amp; W Capital'!$D$14))+(C77*'5.Closing Stock &amp; W Capital'!$D$14))*$C$145*E$124</f>
        <v>0</v>
      </c>
      <c r="F145" s="21">
        <f>((E77*(1-'5.Closing Stock &amp; W Capital'!$D$14))+(D77*'5.Closing Stock &amp; W Capital'!$D$14))*$C$145*F$124</f>
        <v>0</v>
      </c>
      <c r="G145" s="21">
        <f>((F77*(1-'5.Closing Stock &amp; W Capital'!$D$14))+(E77*'5.Closing Stock &amp; W Capital'!$D$14))*$C$145*G$124</f>
        <v>0</v>
      </c>
      <c r="H145" s="21">
        <f>((G77*(1-'5.Closing Stock &amp; W Capital'!$D$14))+(F77*'5.Closing Stock &amp; W Capital'!$D$14))*$C$145*H$124</f>
        <v>0</v>
      </c>
      <c r="I145" s="21">
        <f>((H77*(1-'5.Closing Stock &amp; W Capital'!$D$14))+(G77*'5.Closing Stock &amp; W Capital'!$D$14))*$C$145*I$124</f>
        <v>0</v>
      </c>
      <c r="J145" s="21">
        <f>((I77*(1-'5.Closing Stock &amp; W Capital'!$D$14))+(H77*'5.Closing Stock &amp; W Capital'!$D$14))*$C$145*J$124</f>
        <v>0</v>
      </c>
      <c r="K145" s="19"/>
      <c r="U145" s="19"/>
      <c r="V145" s="19"/>
      <c r="W145" s="19"/>
    </row>
    <row r="146" spans="1:23" x14ac:dyDescent="0.35">
      <c r="A146" s="20">
        <f t="shared" si="52"/>
        <v>0</v>
      </c>
      <c r="B146" s="20"/>
      <c r="C146" s="49"/>
      <c r="D146" s="21">
        <f>(C78*(1-'5.Closing Stock &amp; W Capital'!$D$14))*$C$146*D$124</f>
        <v>0</v>
      </c>
      <c r="E146" s="21">
        <f>((D78*(1-'5.Closing Stock &amp; W Capital'!$D$14))+(C78*'5.Closing Stock &amp; W Capital'!$D$14))*$C$146*E$124</f>
        <v>0</v>
      </c>
      <c r="F146" s="21">
        <f>((E78*(1-'5.Closing Stock &amp; W Capital'!$D$14))+(D78*'5.Closing Stock &amp; W Capital'!$D$14))*$C$146*F$124</f>
        <v>0</v>
      </c>
      <c r="G146" s="21">
        <f>((F78*(1-'5.Closing Stock &amp; W Capital'!$D$14))+(E78*'5.Closing Stock &amp; W Capital'!$D$14))*$C$146*G$124</f>
        <v>0</v>
      </c>
      <c r="H146" s="21">
        <f>((G78*(1-'5.Closing Stock &amp; W Capital'!$D$14))+(F78*'5.Closing Stock &amp; W Capital'!$D$14))*$C$146*H$124</f>
        <v>0</v>
      </c>
      <c r="I146" s="21">
        <f>((H78*(1-'5.Closing Stock &amp; W Capital'!$D$14))+(G78*'5.Closing Stock &amp; W Capital'!$D$14))*$C$146*I$124</f>
        <v>0</v>
      </c>
      <c r="J146" s="21">
        <f>((I78*(1-'5.Closing Stock &amp; W Capital'!$D$14))+(H78*'5.Closing Stock &amp; W Capital'!$D$14))*$C$146*J$124</f>
        <v>0</v>
      </c>
      <c r="K146" s="19"/>
      <c r="U146" s="19"/>
      <c r="V146" s="19"/>
      <c r="W146" s="19"/>
    </row>
    <row r="147" spans="1:23" x14ac:dyDescent="0.35">
      <c r="A147" s="22" t="str">
        <f t="shared" si="52"/>
        <v>Summer</v>
      </c>
      <c r="B147" s="20"/>
      <c r="C147" s="49"/>
      <c r="D147" s="21"/>
      <c r="E147" s="21"/>
      <c r="F147" s="21"/>
      <c r="G147" s="21"/>
      <c r="H147" s="21"/>
      <c r="I147" s="21"/>
      <c r="J147" s="21"/>
      <c r="K147" s="19"/>
      <c r="U147" s="19"/>
      <c r="V147" s="19"/>
      <c r="W147" s="19"/>
    </row>
    <row r="148" spans="1:23" x14ac:dyDescent="0.35">
      <c r="A148" s="20" t="str">
        <f t="shared" si="52"/>
        <v>Soybean</v>
      </c>
      <c r="B148" s="20"/>
      <c r="C148" s="49"/>
      <c r="D148" s="21">
        <f>(C80*(1-'5.Closing Stock &amp; W Capital'!$D$14))*$C$148*D$124</f>
        <v>0</v>
      </c>
      <c r="E148" s="21">
        <f>((D80*(1-'5.Closing Stock &amp; W Capital'!$D$14))+(C80*'5.Closing Stock &amp; W Capital'!$D$14))*$C$148*E$124</f>
        <v>0</v>
      </c>
      <c r="F148" s="21">
        <f>((E80*(1-'5.Closing Stock &amp; W Capital'!$D$14))+(D80*'5.Closing Stock &amp; W Capital'!$D$14))*$C$148*F$124</f>
        <v>0</v>
      </c>
      <c r="G148" s="21">
        <f>((F80*(1-'5.Closing Stock &amp; W Capital'!$D$14))+(E80*'5.Closing Stock &amp; W Capital'!$D$14))*$C$148*G$124</f>
        <v>0</v>
      </c>
      <c r="H148" s="21">
        <f>((G80*(1-'5.Closing Stock &amp; W Capital'!$D$14))+(F80*'5.Closing Stock &amp; W Capital'!$D$14))*$C$148*H$124</f>
        <v>0</v>
      </c>
      <c r="I148" s="21">
        <f>((H80*(1-'5.Closing Stock &amp; W Capital'!$D$14))+(G80*'5.Closing Stock &amp; W Capital'!$D$14))*$C$148*I$124</f>
        <v>0</v>
      </c>
      <c r="J148" s="21">
        <f>((I80*(1-'5.Closing Stock &amp; W Capital'!$D$14))+(H80*'5.Closing Stock &amp; W Capital'!$D$14))*$C$148*J$124</f>
        <v>0</v>
      </c>
      <c r="K148" s="19"/>
      <c r="U148" s="19"/>
      <c r="V148" s="19"/>
      <c r="W148" s="19"/>
    </row>
    <row r="149" spans="1:23" x14ac:dyDescent="0.35">
      <c r="A149" s="20">
        <f t="shared" si="52"/>
        <v>0</v>
      </c>
      <c r="B149" s="20"/>
      <c r="C149" s="49"/>
      <c r="D149" s="21">
        <f>(C81*(1-'5.Closing Stock &amp; W Capital'!$D$14))*$C$149*D$124</f>
        <v>0</v>
      </c>
      <c r="E149" s="21">
        <f>((D81*(1-'5.Closing Stock &amp; W Capital'!$D$14))+(C81*'5.Closing Stock &amp; W Capital'!$D$14))*$C$149*E$124</f>
        <v>0</v>
      </c>
      <c r="F149" s="21">
        <f>((E81*(1-'5.Closing Stock &amp; W Capital'!$D$14))+(D81*'5.Closing Stock &amp; W Capital'!$D$14))*$C$149*F$124</f>
        <v>0</v>
      </c>
      <c r="G149" s="21">
        <f>((F81*(1-'5.Closing Stock &amp; W Capital'!$D$14))+(E81*'5.Closing Stock &amp; W Capital'!$D$14))*$C$149*G$124</f>
        <v>0</v>
      </c>
      <c r="H149" s="21">
        <f>((G81*(1-'5.Closing Stock &amp; W Capital'!$D$14))+(F81*'5.Closing Stock &amp; W Capital'!$D$14))*$C$149*H$124</f>
        <v>0</v>
      </c>
      <c r="I149" s="21">
        <f>((H81*(1-'5.Closing Stock &amp; W Capital'!$D$14))+(G81*'5.Closing Stock &amp; W Capital'!$D$14))*$C$149*I$124</f>
        <v>0</v>
      </c>
      <c r="J149" s="21">
        <f>((I81*(1-'5.Closing Stock &amp; W Capital'!$D$14))+(H81*'5.Closing Stock &amp; W Capital'!$D$14))*$C$149*J$124</f>
        <v>0</v>
      </c>
      <c r="K149" s="19"/>
      <c r="U149" s="19"/>
      <c r="V149" s="19"/>
      <c r="W149" s="19"/>
    </row>
    <row r="150" spans="1:23" x14ac:dyDescent="0.35">
      <c r="A150" s="20">
        <f t="shared" si="52"/>
        <v>0</v>
      </c>
      <c r="B150" s="20"/>
      <c r="C150" s="49"/>
      <c r="D150" s="21">
        <f>(C82*(1-'5.Closing Stock &amp; W Capital'!$D$14))*$C$150*D$124</f>
        <v>0</v>
      </c>
      <c r="E150" s="21">
        <f>((D82*(1-'5.Closing Stock &amp; W Capital'!$D$14))+(C82*'5.Closing Stock &amp; W Capital'!$D$14))*$C$150*E$124</f>
        <v>0</v>
      </c>
      <c r="F150" s="21">
        <f>((E82*(1-'5.Closing Stock &amp; W Capital'!$D$14))+(D82*'5.Closing Stock &amp; W Capital'!$D$14))*$C$150*F$124</f>
        <v>0</v>
      </c>
      <c r="G150" s="21">
        <f>((F82*(1-'5.Closing Stock &amp; W Capital'!$D$14))+(E82*'5.Closing Stock &amp; W Capital'!$D$14))*$C$150*G$124</f>
        <v>0</v>
      </c>
      <c r="H150" s="21">
        <f>((G82*(1-'5.Closing Stock &amp; W Capital'!$D$14))+(F82*'5.Closing Stock &amp; W Capital'!$D$14))*$C$150*H$124</f>
        <v>0</v>
      </c>
      <c r="I150" s="21">
        <f>((H82*(1-'5.Closing Stock &amp; W Capital'!$D$14))+(G82*'5.Closing Stock &amp; W Capital'!$D$14))*$C$150*I$124</f>
        <v>0</v>
      </c>
      <c r="J150" s="21">
        <f>((I82*(1-'5.Closing Stock &amp; W Capital'!$D$14))+(H82*'5.Closing Stock &amp; W Capital'!$D$14))*$C$150*J$124</f>
        <v>0</v>
      </c>
      <c r="K150" s="19"/>
      <c r="U150" s="19"/>
      <c r="V150" s="19"/>
      <c r="W150" s="19"/>
    </row>
    <row r="151" spans="1:23" x14ac:dyDescent="0.35">
      <c r="A151" s="20">
        <f t="shared" si="52"/>
        <v>0</v>
      </c>
      <c r="B151" s="20"/>
      <c r="C151" s="49"/>
      <c r="D151" s="21">
        <f>(C83*(1-'5.Closing Stock &amp; W Capital'!$D$14))*$C$151*D$124</f>
        <v>0</v>
      </c>
      <c r="E151" s="21">
        <f>((D83*(1-'5.Closing Stock &amp; W Capital'!$D$14))+(C83*'5.Closing Stock &amp; W Capital'!$D$14))*$C$151*E$124</f>
        <v>0</v>
      </c>
      <c r="F151" s="21">
        <f>((E83*(1-'5.Closing Stock &amp; W Capital'!$D$14))+(D83*'5.Closing Stock &amp; W Capital'!$D$14))*$C$151*F$124</f>
        <v>0</v>
      </c>
      <c r="G151" s="21">
        <f>((F83*(1-'5.Closing Stock &amp; W Capital'!$D$14))+(E83*'5.Closing Stock &amp; W Capital'!$D$14))*$C$151*G$124</f>
        <v>0</v>
      </c>
      <c r="H151" s="21">
        <f>((G83*(1-'5.Closing Stock &amp; W Capital'!$D$14))+(F83*'5.Closing Stock &amp; W Capital'!$D$14))*$C$151*H$124</f>
        <v>0</v>
      </c>
      <c r="I151" s="21">
        <f>((H83*(1-'5.Closing Stock &amp; W Capital'!$D$14))+(G83*'5.Closing Stock &amp; W Capital'!$D$14))*$C$151*I$124</f>
        <v>0</v>
      </c>
      <c r="J151" s="21">
        <f>((I83*(1-'5.Closing Stock &amp; W Capital'!$D$14))+(H83*'5.Closing Stock &amp; W Capital'!$D$14))*$C$151*J$124</f>
        <v>0</v>
      </c>
      <c r="K151" s="19"/>
      <c r="U151" s="19"/>
      <c r="V151" s="19"/>
      <c r="W151" s="19"/>
    </row>
    <row r="152" spans="1:23" x14ac:dyDescent="0.35">
      <c r="A152" s="20">
        <f t="shared" si="52"/>
        <v>0</v>
      </c>
      <c r="B152" s="20"/>
      <c r="C152" s="49"/>
      <c r="D152" s="21">
        <f>(C84*(1-'5.Closing Stock &amp; W Capital'!$D$14))*$C$152*D$124</f>
        <v>0</v>
      </c>
      <c r="E152" s="21">
        <f>((D84*(1-'5.Closing Stock &amp; W Capital'!$D$14))+(C84*'5.Closing Stock &amp; W Capital'!$D$14))*$C$152*E$124</f>
        <v>0</v>
      </c>
      <c r="F152" s="21">
        <f>((E84*(1-'5.Closing Stock &amp; W Capital'!$D$14))+(D84*'5.Closing Stock &amp; W Capital'!$D$14))*$C$152*F$124</f>
        <v>0</v>
      </c>
      <c r="G152" s="21">
        <f>((F84*(1-'5.Closing Stock &amp; W Capital'!$D$14))+(E84*'5.Closing Stock &amp; W Capital'!$D$14))*$C$152*G$124</f>
        <v>0</v>
      </c>
      <c r="H152" s="21">
        <f>((G84*(1-'5.Closing Stock &amp; W Capital'!$D$14))+(F84*'5.Closing Stock &amp; W Capital'!$D$14))*$C$152*H$124</f>
        <v>0</v>
      </c>
      <c r="I152" s="21">
        <f>((H84*(1-'5.Closing Stock &amp; W Capital'!$D$14))+(G84*'5.Closing Stock &amp; W Capital'!$D$14))*$C$152*I$124</f>
        <v>0</v>
      </c>
      <c r="J152" s="21">
        <f>((I84*(1-'5.Closing Stock &amp; W Capital'!$D$14))+(H84*'5.Closing Stock &amp; W Capital'!$D$14))*$C$152*J$124</f>
        <v>0</v>
      </c>
      <c r="K152" s="19"/>
      <c r="U152" s="19"/>
      <c r="V152" s="19"/>
      <c r="W152" s="19"/>
    </row>
    <row r="153" spans="1:23" x14ac:dyDescent="0.35">
      <c r="A153" s="20" t="str">
        <f t="shared" si="52"/>
        <v>Fruit  &amp; Vegetables Crop Production Details</v>
      </c>
      <c r="B153" s="20"/>
      <c r="C153" s="49"/>
      <c r="D153" s="21"/>
      <c r="E153" s="21"/>
      <c r="F153" s="21"/>
      <c r="G153" s="21"/>
      <c r="H153" s="21"/>
      <c r="I153" s="21"/>
      <c r="J153" s="21"/>
      <c r="K153" s="19"/>
      <c r="U153" s="19"/>
      <c r="V153" s="19"/>
      <c r="W153" s="19"/>
    </row>
    <row r="154" spans="1:23" x14ac:dyDescent="0.35">
      <c r="A154" s="20" t="str">
        <f t="shared" si="52"/>
        <v>Onion</v>
      </c>
      <c r="B154" s="20"/>
      <c r="C154" s="49"/>
      <c r="D154" s="21">
        <f>(C86*(1-'5.Closing Stock &amp; W Capital'!$D$14))*$C154*D$124</f>
        <v>0</v>
      </c>
      <c r="E154" s="21">
        <f>((D86*(1-'5.Closing Stock &amp; W Capital'!$D$14))+(C86*'5.Closing Stock &amp; W Capital'!$D$14))*$C154*E$124</f>
        <v>0</v>
      </c>
      <c r="F154" s="21">
        <f>((E86*(1-'5.Closing Stock &amp; W Capital'!$D$14))+(D86*'5.Closing Stock &amp; W Capital'!$D$14))*$C$152*F$124</f>
        <v>0</v>
      </c>
      <c r="G154" s="21">
        <f>((F86*(1-'5.Closing Stock &amp; W Capital'!$D$14))+(E86*'5.Closing Stock &amp; W Capital'!$D$14))*$C$152*G$124</f>
        <v>0</v>
      </c>
      <c r="H154" s="21">
        <f>((G86*(1-'5.Closing Stock &amp; W Capital'!$D$14))+(F86*'5.Closing Stock &amp; W Capital'!$D$14))*$C$152*H$124</f>
        <v>0</v>
      </c>
      <c r="I154" s="21">
        <f>((H86*(1-'5.Closing Stock &amp; W Capital'!$D$14))+(G86*'5.Closing Stock &amp; W Capital'!$D$14))*$C$152*I$124</f>
        <v>0</v>
      </c>
      <c r="J154" s="21">
        <f>((I86*(1-'5.Closing Stock &amp; W Capital'!$D$14))+(H86*'5.Closing Stock &amp; W Capital'!$D$14))*$C$152*J$124</f>
        <v>0</v>
      </c>
      <c r="K154" s="19"/>
      <c r="U154" s="19"/>
      <c r="V154" s="19"/>
      <c r="W154" s="19"/>
    </row>
    <row r="155" spans="1:23" x14ac:dyDescent="0.35">
      <c r="A155" s="20" t="str">
        <f t="shared" si="52"/>
        <v>Tomato</v>
      </c>
      <c r="B155" s="20"/>
      <c r="C155" s="49"/>
      <c r="D155" s="21">
        <f>(C87*(1-'5.Closing Stock &amp; W Capital'!$D$14))*$C155*D$124</f>
        <v>0</v>
      </c>
      <c r="E155" s="21">
        <f>((D87*(1-'5.Closing Stock &amp; W Capital'!$D$14))+(C87*'5.Closing Stock &amp; W Capital'!$D$14))*$C155*E$124</f>
        <v>0</v>
      </c>
      <c r="F155" s="21">
        <f>((E87*(1-'5.Closing Stock &amp; W Capital'!$D$14))+(D87*'5.Closing Stock &amp; W Capital'!$D$14))*$C$152*F$124</f>
        <v>0</v>
      </c>
      <c r="G155" s="21">
        <f>((F87*(1-'5.Closing Stock &amp; W Capital'!$D$14))+(E87*'5.Closing Stock &amp; W Capital'!$D$14))*$C$152*G$124</f>
        <v>0</v>
      </c>
      <c r="H155" s="21">
        <f>((G87*(1-'5.Closing Stock &amp; W Capital'!$D$14))+(F87*'5.Closing Stock &amp; W Capital'!$D$14))*$C$152*H$124</f>
        <v>0</v>
      </c>
      <c r="I155" s="21">
        <f>((H87*(1-'5.Closing Stock &amp; W Capital'!$D$14))+(G87*'5.Closing Stock &amp; W Capital'!$D$14))*$C$152*I$124</f>
        <v>0</v>
      </c>
      <c r="J155" s="21">
        <f>((I87*(1-'5.Closing Stock &amp; W Capital'!$D$14))+(H87*'5.Closing Stock &amp; W Capital'!$D$14))*$C$152*J$124</f>
        <v>0</v>
      </c>
      <c r="K155" s="19"/>
      <c r="U155" s="19"/>
      <c r="V155" s="19"/>
      <c r="W155" s="19"/>
    </row>
    <row r="156" spans="1:23" x14ac:dyDescent="0.35">
      <c r="A156" s="20" t="str">
        <f t="shared" si="52"/>
        <v>Okra</v>
      </c>
      <c r="B156" s="20"/>
      <c r="C156" s="49"/>
      <c r="D156" s="21">
        <f>(C88*(1-'5.Closing Stock &amp; W Capital'!$D$14))*$C156*D$124</f>
        <v>0</v>
      </c>
      <c r="E156" s="21">
        <f>((D88*(1-'5.Closing Stock &amp; W Capital'!$D$14))+(C88*'5.Closing Stock &amp; W Capital'!$D$14))*$C156*E$124</f>
        <v>0</v>
      </c>
      <c r="F156" s="21">
        <f>((E88*(1-'5.Closing Stock &amp; W Capital'!$D$14))+(D88*'5.Closing Stock &amp; W Capital'!$D$14))*$C$152*F$124</f>
        <v>0</v>
      </c>
      <c r="G156" s="21">
        <f>((F88*(1-'5.Closing Stock &amp; W Capital'!$D$14))+(E88*'5.Closing Stock &amp; W Capital'!$D$14))*$C$152*G$124</f>
        <v>0</v>
      </c>
      <c r="H156" s="21">
        <f>((G88*(1-'5.Closing Stock &amp; W Capital'!$D$14))+(F88*'5.Closing Stock &amp; W Capital'!$D$14))*$C$152*H$124</f>
        <v>0</v>
      </c>
      <c r="I156" s="21">
        <f>((H88*(1-'5.Closing Stock &amp; W Capital'!$D$14))+(G88*'5.Closing Stock &amp; W Capital'!$D$14))*$C$152*I$124</f>
        <v>0</v>
      </c>
      <c r="J156" s="21">
        <f>((I88*(1-'5.Closing Stock &amp; W Capital'!$D$14))+(H88*'5.Closing Stock &amp; W Capital'!$D$14))*$C$152*J$124</f>
        <v>0</v>
      </c>
      <c r="K156" s="19"/>
      <c r="U156" s="19"/>
      <c r="V156" s="19"/>
      <c r="W156" s="19"/>
    </row>
    <row r="157" spans="1:23" x14ac:dyDescent="0.35">
      <c r="A157" s="20" t="str">
        <f t="shared" si="52"/>
        <v>Chilli</v>
      </c>
      <c r="B157" s="20"/>
      <c r="C157" s="49"/>
      <c r="D157" s="21">
        <f>(C89*(1-'5.Closing Stock &amp; W Capital'!$D$14))*$C157*D$124</f>
        <v>0</v>
      </c>
      <c r="E157" s="21">
        <f>((D89*(1-'5.Closing Stock &amp; W Capital'!$D$14))+(C89*'5.Closing Stock &amp; W Capital'!$D$14))*$C157*E$124</f>
        <v>0</v>
      </c>
      <c r="F157" s="21">
        <f>((E89*(1-'5.Closing Stock &amp; W Capital'!$D$14))+(D89*'5.Closing Stock &amp; W Capital'!$D$14))*$C$152*F$124</f>
        <v>0</v>
      </c>
      <c r="G157" s="21">
        <f>((F89*(1-'5.Closing Stock &amp; W Capital'!$D$14))+(E89*'5.Closing Stock &amp; W Capital'!$D$14))*$C$152*G$124</f>
        <v>0</v>
      </c>
      <c r="H157" s="21">
        <f>((G89*(1-'5.Closing Stock &amp; W Capital'!$D$14))+(F89*'5.Closing Stock &amp; W Capital'!$D$14))*$C$152*H$124</f>
        <v>0</v>
      </c>
      <c r="I157" s="21">
        <f>((H89*(1-'5.Closing Stock &amp; W Capital'!$D$14))+(G89*'5.Closing Stock &amp; W Capital'!$D$14))*$C$152*I$124</f>
        <v>0</v>
      </c>
      <c r="J157" s="21">
        <f>((I89*(1-'5.Closing Stock &amp; W Capital'!$D$14))+(H89*'5.Closing Stock &amp; W Capital'!$D$14))*$C$152*J$124</f>
        <v>0</v>
      </c>
      <c r="K157" s="19"/>
      <c r="U157" s="19"/>
      <c r="V157" s="19"/>
      <c r="W157" s="19"/>
    </row>
    <row r="158" spans="1:23" x14ac:dyDescent="0.35">
      <c r="A158" s="20" t="str">
        <f t="shared" si="52"/>
        <v>Potato</v>
      </c>
      <c r="B158" s="20"/>
      <c r="C158" s="49"/>
      <c r="D158" s="21">
        <f>(C90*(1-'5.Closing Stock &amp; W Capital'!$D$14))*$C158*D$124</f>
        <v>0</v>
      </c>
      <c r="E158" s="21">
        <f>((D90*(1-'5.Closing Stock &amp; W Capital'!$D$14))+(C90*'5.Closing Stock &amp; W Capital'!$D$14))*$C158*E$124</f>
        <v>0</v>
      </c>
      <c r="F158" s="21">
        <f>((E90*(1-'5.Closing Stock &amp; W Capital'!$D$14))+(D90*'5.Closing Stock &amp; W Capital'!$D$14))*$C$152*F$124</f>
        <v>0</v>
      </c>
      <c r="G158" s="21">
        <f>((F90*(1-'5.Closing Stock &amp; W Capital'!$D$14))+(E90*'5.Closing Stock &amp; W Capital'!$D$14))*$C$152*G$124</f>
        <v>0</v>
      </c>
      <c r="H158" s="21">
        <f>((G90*(1-'5.Closing Stock &amp; W Capital'!$D$14))+(F90*'5.Closing Stock &amp; W Capital'!$D$14))*$C$152*H$124</f>
        <v>0</v>
      </c>
      <c r="I158" s="21">
        <f>((H90*(1-'5.Closing Stock &amp; W Capital'!$D$14))+(G90*'5.Closing Stock &amp; W Capital'!$D$14))*$C$152*I$124</f>
        <v>0</v>
      </c>
      <c r="J158" s="21">
        <f>((I90*(1-'5.Closing Stock &amp; W Capital'!$D$14))+(H90*'5.Closing Stock &amp; W Capital'!$D$14))*$C$152*J$124</f>
        <v>0</v>
      </c>
      <c r="K158" s="19"/>
      <c r="U158" s="19"/>
      <c r="V158" s="19"/>
      <c r="W158" s="19"/>
    </row>
    <row r="159" spans="1:23" x14ac:dyDescent="0.35">
      <c r="A159" s="20">
        <f t="shared" si="52"/>
        <v>0</v>
      </c>
      <c r="B159" s="20"/>
      <c r="C159" s="49"/>
      <c r="D159" s="21">
        <f>(C91*(1-'5.Closing Stock &amp; W Capital'!$D$14))*$C159*D$124</f>
        <v>0</v>
      </c>
      <c r="E159" s="21">
        <f>((D91*(1-'5.Closing Stock &amp; W Capital'!$D$14))+(C91*'5.Closing Stock &amp; W Capital'!$D$14))*$C159*E$124</f>
        <v>0</v>
      </c>
      <c r="F159" s="21">
        <f>((E91*(1-'5.Closing Stock &amp; W Capital'!$D$14))+(D91*'5.Closing Stock &amp; W Capital'!$D$14))*$C$152*F$124</f>
        <v>0</v>
      </c>
      <c r="G159" s="21">
        <f>((F91*(1-'5.Closing Stock &amp; W Capital'!$D$14))+(E91*'5.Closing Stock &amp; W Capital'!$D$14))*$C$152*G$124</f>
        <v>0</v>
      </c>
      <c r="H159" s="21">
        <f>((G91*(1-'5.Closing Stock &amp; W Capital'!$D$14))+(F91*'5.Closing Stock &amp; W Capital'!$D$14))*$C$152*H$124</f>
        <v>0</v>
      </c>
      <c r="I159" s="21">
        <f>((H91*(1-'5.Closing Stock &amp; W Capital'!$D$14))+(G91*'5.Closing Stock &amp; W Capital'!$D$14))*$C$152*I$124</f>
        <v>0</v>
      </c>
      <c r="J159" s="21">
        <f>((I91*(1-'5.Closing Stock &amp; W Capital'!$D$14))+(H91*'5.Closing Stock &amp; W Capital'!$D$14))*$C$152*J$124</f>
        <v>0</v>
      </c>
      <c r="K159" s="19"/>
      <c r="U159" s="19"/>
      <c r="V159" s="19"/>
      <c r="W159" s="19"/>
    </row>
    <row r="160" spans="1:23" x14ac:dyDescent="0.35">
      <c r="A160" s="20">
        <f t="shared" si="52"/>
        <v>0</v>
      </c>
      <c r="B160" s="20"/>
      <c r="C160" s="49"/>
      <c r="D160" s="21">
        <f>(C92*(1-'5.Closing Stock &amp; W Capital'!$D$14))*$C160*D$124</f>
        <v>0</v>
      </c>
      <c r="E160" s="21">
        <f>((D92*(1-'5.Closing Stock &amp; W Capital'!$D$14))+(C92*'5.Closing Stock &amp; W Capital'!$D$14))*$C160*E$124</f>
        <v>0</v>
      </c>
      <c r="F160" s="21">
        <f>((E92*(1-'5.Closing Stock &amp; W Capital'!$D$14))+(D92*'5.Closing Stock &amp; W Capital'!$D$14))*$C$152*F$124</f>
        <v>0</v>
      </c>
      <c r="G160" s="21">
        <f>((F92*(1-'5.Closing Stock &amp; W Capital'!$D$14))+(E92*'5.Closing Stock &amp; W Capital'!$D$14))*$C$152*G$124</f>
        <v>0</v>
      </c>
      <c r="H160" s="21">
        <f>((G92*(1-'5.Closing Stock &amp; W Capital'!$D$14))+(F92*'5.Closing Stock &amp; W Capital'!$D$14))*$C$152*H$124</f>
        <v>0</v>
      </c>
      <c r="I160" s="21">
        <f>((H92*(1-'5.Closing Stock &amp; W Capital'!$D$14))+(G92*'5.Closing Stock &amp; W Capital'!$D$14))*$C$152*I$124</f>
        <v>0</v>
      </c>
      <c r="J160" s="21">
        <f>((I92*(1-'5.Closing Stock &amp; W Capital'!$D$14))+(H92*'5.Closing Stock &amp; W Capital'!$D$14))*$C$152*J$124</f>
        <v>0</v>
      </c>
      <c r="K160" s="19"/>
      <c r="U160" s="19"/>
      <c r="V160" s="19"/>
      <c r="W160" s="19"/>
    </row>
    <row r="161" spans="1:23" x14ac:dyDescent="0.35">
      <c r="A161" s="20">
        <f t="shared" ref="A161:A179" si="53">A40</f>
        <v>0</v>
      </c>
      <c r="B161" s="20"/>
      <c r="C161" s="49"/>
      <c r="D161" s="21">
        <f>(C93*(1-'5.Closing Stock &amp; W Capital'!$D$14))*$C161*D$124</f>
        <v>0</v>
      </c>
      <c r="E161" s="21">
        <f>((D93*(1-'5.Closing Stock &amp; W Capital'!$D$14))+(C93*'5.Closing Stock &amp; W Capital'!$D$14))*$C161*E$124</f>
        <v>0</v>
      </c>
      <c r="F161" s="21">
        <f>((E93*(1-'5.Closing Stock &amp; W Capital'!$D$14))+(D93*'5.Closing Stock &amp; W Capital'!$D$14))*$C$152*F$124</f>
        <v>0</v>
      </c>
      <c r="G161" s="21">
        <f>((F93*(1-'5.Closing Stock &amp; W Capital'!$D$14))+(E93*'5.Closing Stock &amp; W Capital'!$D$14))*$C$152*G$124</f>
        <v>0</v>
      </c>
      <c r="H161" s="21">
        <f>((G93*(1-'5.Closing Stock &amp; W Capital'!$D$14))+(F93*'5.Closing Stock &amp; W Capital'!$D$14))*$C$152*H$124</f>
        <v>0</v>
      </c>
      <c r="I161" s="21">
        <f>((H93*(1-'5.Closing Stock &amp; W Capital'!$D$14))+(G93*'5.Closing Stock &amp; W Capital'!$D$14))*$C$152*I$124</f>
        <v>0</v>
      </c>
      <c r="J161" s="21">
        <f>((I93*(1-'5.Closing Stock &amp; W Capital'!$D$14))+(H93*'5.Closing Stock &amp; W Capital'!$D$14))*$C$152*J$124</f>
        <v>0</v>
      </c>
      <c r="K161" s="19"/>
      <c r="U161" s="19"/>
      <c r="V161" s="19"/>
      <c r="W161" s="19"/>
    </row>
    <row r="162" spans="1:23" x14ac:dyDescent="0.35">
      <c r="A162" s="20">
        <f t="shared" si="53"/>
        <v>0</v>
      </c>
      <c r="B162" s="20"/>
      <c r="C162" s="49"/>
      <c r="D162" s="21">
        <f>(C94*(1-'5.Closing Stock &amp; W Capital'!$D$14))*$C162*D$124</f>
        <v>0</v>
      </c>
      <c r="E162" s="21">
        <f>((D94*(1-'5.Closing Stock &amp; W Capital'!$D$14))+(C94*'5.Closing Stock &amp; W Capital'!$D$14))*$C162*E$124</f>
        <v>0</v>
      </c>
      <c r="F162" s="21">
        <f>((E94*(1-'5.Closing Stock &amp; W Capital'!$D$14))+(D94*'5.Closing Stock &amp; W Capital'!$D$14))*$C$152*F$124</f>
        <v>0</v>
      </c>
      <c r="G162" s="21">
        <f>((F94*(1-'5.Closing Stock &amp; W Capital'!$D$14))+(E94*'5.Closing Stock &amp; W Capital'!$D$14))*$C$152*G$124</f>
        <v>0</v>
      </c>
      <c r="H162" s="21">
        <f>((G94*(1-'5.Closing Stock &amp; W Capital'!$D$14))+(F94*'5.Closing Stock &amp; W Capital'!$D$14))*$C$152*H$124</f>
        <v>0</v>
      </c>
      <c r="I162" s="21">
        <f>((H94*(1-'5.Closing Stock &amp; W Capital'!$D$14))+(G94*'5.Closing Stock &amp; W Capital'!$D$14))*$C$152*I$124</f>
        <v>0</v>
      </c>
      <c r="J162" s="21">
        <f>((I94*(1-'5.Closing Stock &amp; W Capital'!$D$14))+(H94*'5.Closing Stock &amp; W Capital'!$D$14))*$C$152*J$124</f>
        <v>0</v>
      </c>
      <c r="K162" s="19"/>
      <c r="U162" s="19"/>
      <c r="V162" s="19"/>
      <c r="W162" s="19"/>
    </row>
    <row r="163" spans="1:23" x14ac:dyDescent="0.35">
      <c r="A163" s="20" t="str">
        <f t="shared" si="53"/>
        <v>Onion</v>
      </c>
      <c r="B163" s="20"/>
      <c r="C163" s="49"/>
      <c r="D163" s="21">
        <f>(C95*(1-'5.Closing Stock &amp; W Capital'!$D$14))*$C163*D$124</f>
        <v>0</v>
      </c>
      <c r="E163" s="21">
        <f>((D95*(1-'5.Closing Stock &amp; W Capital'!$D$14))+(C95*'5.Closing Stock &amp; W Capital'!$D$14))*$C163*E$124</f>
        <v>0</v>
      </c>
      <c r="F163" s="21">
        <f>((E95*(1-'5.Closing Stock &amp; W Capital'!$D$14))+(D95*'5.Closing Stock &amp; W Capital'!$D$14))*$C$152*F$124</f>
        <v>0</v>
      </c>
      <c r="G163" s="21">
        <f>((F95*(1-'5.Closing Stock &amp; W Capital'!$D$14))+(E95*'5.Closing Stock &amp; W Capital'!$D$14))*$C$152*G$124</f>
        <v>0</v>
      </c>
      <c r="H163" s="21">
        <f>((G95*(1-'5.Closing Stock &amp; W Capital'!$D$14))+(F95*'5.Closing Stock &amp; W Capital'!$D$14))*$C$152*H$124</f>
        <v>0</v>
      </c>
      <c r="I163" s="21">
        <f>((H95*(1-'5.Closing Stock &amp; W Capital'!$D$14))+(G95*'5.Closing Stock &amp; W Capital'!$D$14))*$C$152*I$124</f>
        <v>0</v>
      </c>
      <c r="J163" s="21">
        <f>((I95*(1-'5.Closing Stock &amp; W Capital'!$D$14))+(H95*'5.Closing Stock &amp; W Capital'!$D$14))*$C$152*J$124</f>
        <v>0</v>
      </c>
      <c r="K163" s="19"/>
      <c r="U163" s="19"/>
      <c r="V163" s="19"/>
      <c r="W163" s="19"/>
    </row>
    <row r="164" spans="1:23" x14ac:dyDescent="0.35">
      <c r="A164" s="20" t="str">
        <f t="shared" si="53"/>
        <v>Tomato</v>
      </c>
      <c r="B164" s="20"/>
      <c r="C164" s="49"/>
      <c r="D164" s="21">
        <f>(C96*(1-'5.Closing Stock &amp; W Capital'!$D$14))*$C164*D$124</f>
        <v>0</v>
      </c>
      <c r="E164" s="21">
        <f>((D96*(1-'5.Closing Stock &amp; W Capital'!$D$14))+(C96*'5.Closing Stock &amp; W Capital'!$D$14))*$C164*E$124</f>
        <v>0</v>
      </c>
      <c r="F164" s="21">
        <f>((E96*(1-'5.Closing Stock &amp; W Capital'!$D$14))+(D96*'5.Closing Stock &amp; W Capital'!$D$14))*$C$152*F$124</f>
        <v>0</v>
      </c>
      <c r="G164" s="21">
        <f>((F96*(1-'5.Closing Stock &amp; W Capital'!$D$14))+(E96*'5.Closing Stock &amp; W Capital'!$D$14))*$C$152*G$124</f>
        <v>0</v>
      </c>
      <c r="H164" s="21">
        <f>((G96*(1-'5.Closing Stock &amp; W Capital'!$D$14))+(F96*'5.Closing Stock &amp; W Capital'!$D$14))*$C$152*H$124</f>
        <v>0</v>
      </c>
      <c r="I164" s="21">
        <f>((H96*(1-'5.Closing Stock &amp; W Capital'!$D$14))+(G96*'5.Closing Stock &amp; W Capital'!$D$14))*$C$152*I$124</f>
        <v>0</v>
      </c>
      <c r="J164" s="21">
        <f>((I96*(1-'5.Closing Stock &amp; W Capital'!$D$14))+(H96*'5.Closing Stock &amp; W Capital'!$D$14))*$C$152*J$124</f>
        <v>0</v>
      </c>
      <c r="K164" s="19"/>
      <c r="U164" s="19"/>
      <c r="V164" s="19"/>
      <c r="W164" s="19"/>
    </row>
    <row r="165" spans="1:23" x14ac:dyDescent="0.35">
      <c r="A165" s="20" t="str">
        <f t="shared" si="53"/>
        <v>Okra</v>
      </c>
      <c r="B165" s="20"/>
      <c r="C165" s="49"/>
      <c r="D165" s="21">
        <f>(C97*(1-'5.Closing Stock &amp; W Capital'!$D$14))*$C165*D$124</f>
        <v>0</v>
      </c>
      <c r="E165" s="21">
        <f>((D97*(1-'5.Closing Stock &amp; W Capital'!$D$14))+(C97*'5.Closing Stock &amp; W Capital'!$D$14))*$C165*E$124</f>
        <v>0</v>
      </c>
      <c r="F165" s="21">
        <f>((E97*(1-'5.Closing Stock &amp; W Capital'!$D$14))+(D97*'5.Closing Stock &amp; W Capital'!$D$14))*$C$152*F$124</f>
        <v>0</v>
      </c>
      <c r="G165" s="21">
        <f>((F97*(1-'5.Closing Stock &amp; W Capital'!$D$14))+(E97*'5.Closing Stock &amp; W Capital'!$D$14))*$C$152*G$124</f>
        <v>0</v>
      </c>
      <c r="H165" s="21">
        <f>((G97*(1-'5.Closing Stock &amp; W Capital'!$D$14))+(F97*'5.Closing Stock &amp; W Capital'!$D$14))*$C$152*H$124</f>
        <v>0</v>
      </c>
      <c r="I165" s="21">
        <f>((H97*(1-'5.Closing Stock &amp; W Capital'!$D$14))+(G97*'5.Closing Stock &amp; W Capital'!$D$14))*$C$152*I$124</f>
        <v>0</v>
      </c>
      <c r="J165" s="21">
        <f>((I97*(1-'5.Closing Stock &amp; W Capital'!$D$14))+(H97*'5.Closing Stock &amp; W Capital'!$D$14))*$C$152*J$124</f>
        <v>0</v>
      </c>
      <c r="K165" s="19"/>
      <c r="U165" s="19"/>
      <c r="V165" s="19"/>
      <c r="W165" s="19"/>
    </row>
    <row r="166" spans="1:23" x14ac:dyDescent="0.35">
      <c r="A166" s="20" t="str">
        <f t="shared" si="53"/>
        <v>Chilli</v>
      </c>
      <c r="B166" s="20"/>
      <c r="C166" s="49"/>
      <c r="D166" s="21">
        <f>(C98*(1-'5.Closing Stock &amp; W Capital'!$D$14))*$C166*D$124</f>
        <v>0</v>
      </c>
      <c r="E166" s="21">
        <f>((D98*(1-'5.Closing Stock &amp; W Capital'!$D$14))+(C98*'5.Closing Stock &amp; W Capital'!$D$14))*$C166*E$124</f>
        <v>0</v>
      </c>
      <c r="F166" s="21">
        <f>((E98*(1-'5.Closing Stock &amp; W Capital'!$D$14))+(D98*'5.Closing Stock &amp; W Capital'!$D$14))*$C$152*F$124</f>
        <v>0</v>
      </c>
      <c r="G166" s="21">
        <f>((F98*(1-'5.Closing Stock &amp; W Capital'!$D$14))+(E98*'5.Closing Stock &amp; W Capital'!$D$14))*$C$152*G$124</f>
        <v>0</v>
      </c>
      <c r="H166" s="21">
        <f>((G98*(1-'5.Closing Stock &amp; W Capital'!$D$14))+(F98*'5.Closing Stock &amp; W Capital'!$D$14))*$C$152*H$124</f>
        <v>0</v>
      </c>
      <c r="I166" s="21">
        <f>((H98*(1-'5.Closing Stock &amp; W Capital'!$D$14))+(G98*'5.Closing Stock &amp; W Capital'!$D$14))*$C$152*I$124</f>
        <v>0</v>
      </c>
      <c r="J166" s="21">
        <f>((I98*(1-'5.Closing Stock &amp; W Capital'!$D$14))+(H98*'5.Closing Stock &amp; W Capital'!$D$14))*$C$152*J$124</f>
        <v>0</v>
      </c>
      <c r="K166" s="19"/>
      <c r="U166" s="19"/>
      <c r="V166" s="19"/>
      <c r="W166" s="19"/>
    </row>
    <row r="167" spans="1:23" x14ac:dyDescent="0.35">
      <c r="A167" s="20" t="str">
        <f t="shared" si="53"/>
        <v>Brinjal</v>
      </c>
      <c r="B167" s="20"/>
      <c r="C167" s="49"/>
      <c r="D167" s="21">
        <f>(C99*(1-'5.Closing Stock &amp; W Capital'!$D$14))*$C167*D$124</f>
        <v>0</v>
      </c>
      <c r="E167" s="21">
        <f>((D99*(1-'5.Closing Stock &amp; W Capital'!$D$14))+(C99*'5.Closing Stock &amp; W Capital'!$D$14))*$C167*E$124</f>
        <v>0</v>
      </c>
      <c r="F167" s="21">
        <f>((E99*(1-'5.Closing Stock &amp; W Capital'!$D$14))+(D99*'5.Closing Stock &amp; W Capital'!$D$14))*$C$152*F$124</f>
        <v>0</v>
      </c>
      <c r="G167" s="21">
        <f>((F99*(1-'5.Closing Stock &amp; W Capital'!$D$14))+(E99*'5.Closing Stock &amp; W Capital'!$D$14))*$C$152*G$124</f>
        <v>0</v>
      </c>
      <c r="H167" s="21">
        <f>((G99*(1-'5.Closing Stock &amp; W Capital'!$D$14))+(F99*'5.Closing Stock &amp; W Capital'!$D$14))*$C$152*H$124</f>
        <v>0</v>
      </c>
      <c r="I167" s="21">
        <f>((H99*(1-'5.Closing Stock &amp; W Capital'!$D$14))+(G99*'5.Closing Stock &amp; W Capital'!$D$14))*$C$152*I$124</f>
        <v>0</v>
      </c>
      <c r="J167" s="21">
        <f>((I99*(1-'5.Closing Stock &amp; W Capital'!$D$14))+(H99*'5.Closing Stock &amp; W Capital'!$D$14))*$C$152*J$124</f>
        <v>0</v>
      </c>
      <c r="K167" s="19"/>
      <c r="U167" s="19"/>
      <c r="V167" s="19"/>
      <c r="W167" s="19"/>
    </row>
    <row r="168" spans="1:23" x14ac:dyDescent="0.35">
      <c r="A168" s="20">
        <f t="shared" si="53"/>
        <v>0</v>
      </c>
      <c r="B168" s="20"/>
      <c r="C168" s="49"/>
      <c r="D168" s="21">
        <f>(C100*(1-'5.Closing Stock &amp; W Capital'!$D$14))*$C168*D$124</f>
        <v>0</v>
      </c>
      <c r="E168" s="21">
        <f>((D100*(1-'5.Closing Stock &amp; W Capital'!$D$14))+(C100*'5.Closing Stock &amp; W Capital'!$D$14))*$C168*E$124</f>
        <v>0</v>
      </c>
      <c r="F168" s="21">
        <f>((E100*(1-'5.Closing Stock &amp; W Capital'!$D$14))+(D100*'5.Closing Stock &amp; W Capital'!$D$14))*$C$152*F$124</f>
        <v>0</v>
      </c>
      <c r="G168" s="21">
        <f>((F100*(1-'5.Closing Stock &amp; W Capital'!$D$14))+(E100*'5.Closing Stock &amp; W Capital'!$D$14))*$C$152*G$124</f>
        <v>0</v>
      </c>
      <c r="H168" s="21">
        <f>((G100*(1-'5.Closing Stock &amp; W Capital'!$D$14))+(F100*'5.Closing Stock &amp; W Capital'!$D$14))*$C$152*H$124</f>
        <v>0</v>
      </c>
      <c r="I168" s="21">
        <f>((H100*(1-'5.Closing Stock &amp; W Capital'!$D$14))+(G100*'5.Closing Stock &amp; W Capital'!$D$14))*$C$152*I$124</f>
        <v>0</v>
      </c>
      <c r="J168" s="21">
        <f>((I100*(1-'5.Closing Stock &amp; W Capital'!$D$14))+(H100*'5.Closing Stock &amp; W Capital'!$D$14))*$C$152*J$124</f>
        <v>0</v>
      </c>
      <c r="K168" s="19"/>
      <c r="U168" s="19"/>
      <c r="V168" s="19"/>
      <c r="W168" s="19"/>
    </row>
    <row r="169" spans="1:23" x14ac:dyDescent="0.35">
      <c r="A169" s="20">
        <f t="shared" si="53"/>
        <v>0</v>
      </c>
      <c r="B169" s="20"/>
      <c r="C169" s="49"/>
      <c r="D169" s="21">
        <f>(C101*(1-'5.Closing Stock &amp; W Capital'!$D$14))*$C169*D$124</f>
        <v>0</v>
      </c>
      <c r="E169" s="21">
        <f>((D101*(1-'5.Closing Stock &amp; W Capital'!$D$14))+(C101*'5.Closing Stock &amp; W Capital'!$D$14))*$C169*E$124</f>
        <v>0</v>
      </c>
      <c r="F169" s="21">
        <f>((E101*(1-'5.Closing Stock &amp; W Capital'!$D$14))+(D101*'5.Closing Stock &amp; W Capital'!$D$14))*$C$152*F$124</f>
        <v>0</v>
      </c>
      <c r="G169" s="21">
        <f>((F101*(1-'5.Closing Stock &amp; W Capital'!$D$14))+(E101*'5.Closing Stock &amp; W Capital'!$D$14))*$C$152*G$124</f>
        <v>0</v>
      </c>
      <c r="H169" s="21">
        <f>((G101*(1-'5.Closing Stock &amp; W Capital'!$D$14))+(F101*'5.Closing Stock &amp; W Capital'!$D$14))*$C$152*H$124</f>
        <v>0</v>
      </c>
      <c r="I169" s="21">
        <f>((H101*(1-'5.Closing Stock &amp; W Capital'!$D$14))+(G101*'5.Closing Stock &amp; W Capital'!$D$14))*$C$152*I$124</f>
        <v>0</v>
      </c>
      <c r="J169" s="21">
        <f>((I101*(1-'5.Closing Stock &amp; W Capital'!$D$14))+(H101*'5.Closing Stock &amp; W Capital'!$D$14))*$C$152*J$124</f>
        <v>0</v>
      </c>
      <c r="K169" s="19"/>
      <c r="U169" s="19"/>
      <c r="V169" s="19"/>
      <c r="W169" s="19"/>
    </row>
    <row r="170" spans="1:23" x14ac:dyDescent="0.35">
      <c r="A170" s="20">
        <f t="shared" si="53"/>
        <v>0</v>
      </c>
      <c r="B170" s="20"/>
      <c r="C170" s="49"/>
      <c r="D170" s="21">
        <f>(C102*(1-'5.Closing Stock &amp; W Capital'!$D$14))*$C170*D$124</f>
        <v>0</v>
      </c>
      <c r="E170" s="21">
        <f>((D102*(1-'5.Closing Stock &amp; W Capital'!$D$14))+(C102*'5.Closing Stock &amp; W Capital'!$D$14))*$C170*E$124</f>
        <v>0</v>
      </c>
      <c r="F170" s="21">
        <f>((E102*(1-'5.Closing Stock &amp; W Capital'!$D$14))+(D102*'5.Closing Stock &amp; W Capital'!$D$14))*$C$152*F$124</f>
        <v>0</v>
      </c>
      <c r="G170" s="21">
        <f>((F102*(1-'5.Closing Stock &amp; W Capital'!$D$14))+(E102*'5.Closing Stock &amp; W Capital'!$D$14))*$C$152*G$124</f>
        <v>0</v>
      </c>
      <c r="H170" s="21">
        <f>((G102*(1-'5.Closing Stock &amp; W Capital'!$D$14))+(F102*'5.Closing Stock &amp; W Capital'!$D$14))*$C$152*H$124</f>
        <v>0</v>
      </c>
      <c r="I170" s="21">
        <f>((H102*(1-'5.Closing Stock &amp; W Capital'!$D$14))+(G102*'5.Closing Stock &amp; W Capital'!$D$14))*$C$152*I$124</f>
        <v>0</v>
      </c>
      <c r="J170" s="21">
        <f>((I102*(1-'5.Closing Stock &amp; W Capital'!$D$14))+(H102*'5.Closing Stock &amp; W Capital'!$D$14))*$C$152*J$124</f>
        <v>0</v>
      </c>
      <c r="K170" s="19"/>
      <c r="U170" s="19"/>
      <c r="V170" s="19"/>
      <c r="W170" s="19"/>
    </row>
    <row r="171" spans="1:23" x14ac:dyDescent="0.35">
      <c r="A171" s="20">
        <f t="shared" si="53"/>
        <v>0</v>
      </c>
      <c r="B171" s="20"/>
      <c r="C171" s="49"/>
      <c r="D171" s="21">
        <f>(C103*(1-'5.Closing Stock &amp; W Capital'!$D$14))*$C171*D$124</f>
        <v>0</v>
      </c>
      <c r="E171" s="21">
        <f>((D103*(1-'5.Closing Stock &amp; W Capital'!$D$14))+(C103*'5.Closing Stock &amp; W Capital'!$D$14))*$C171*E$124</f>
        <v>0</v>
      </c>
      <c r="F171" s="21">
        <f>((E103*(1-'5.Closing Stock &amp; W Capital'!$D$14))+(D103*'5.Closing Stock &amp; W Capital'!$D$14))*$C$152*F$124</f>
        <v>0</v>
      </c>
      <c r="G171" s="21">
        <f>((F103*(1-'5.Closing Stock &amp; W Capital'!$D$14))+(E103*'5.Closing Stock &amp; W Capital'!$D$14))*$C$152*G$124</f>
        <v>0</v>
      </c>
      <c r="H171" s="21">
        <f>((G103*(1-'5.Closing Stock &amp; W Capital'!$D$14))+(F103*'5.Closing Stock &amp; W Capital'!$D$14))*$C$152*H$124</f>
        <v>0</v>
      </c>
      <c r="I171" s="21">
        <f>((H103*(1-'5.Closing Stock &amp; W Capital'!$D$14))+(G103*'5.Closing Stock &amp; W Capital'!$D$14))*$C$152*I$124</f>
        <v>0</v>
      </c>
      <c r="J171" s="21">
        <f>((I103*(1-'5.Closing Stock &amp; W Capital'!$D$14))+(H103*'5.Closing Stock &amp; W Capital'!$D$14))*$C$152*J$124</f>
        <v>0</v>
      </c>
      <c r="K171" s="19"/>
      <c r="U171" s="19"/>
      <c r="V171" s="19"/>
      <c r="W171" s="19"/>
    </row>
    <row r="172" spans="1:23" x14ac:dyDescent="0.35">
      <c r="A172" s="20">
        <f t="shared" si="53"/>
        <v>0</v>
      </c>
      <c r="B172" s="20"/>
      <c r="C172" s="49"/>
      <c r="D172" s="21">
        <f>(C104*(1-'5.Closing Stock &amp; W Capital'!$D$14))*$C172*D$124</f>
        <v>0</v>
      </c>
      <c r="E172" s="21">
        <f>((D104*(1-'5.Closing Stock &amp; W Capital'!$D$14))+(C104*'5.Closing Stock &amp; W Capital'!$D$14))*$C172*E$124</f>
        <v>0</v>
      </c>
      <c r="F172" s="21">
        <f>((E104*(1-'5.Closing Stock &amp; W Capital'!$D$14))+(D104*'5.Closing Stock &amp; W Capital'!$D$14))*$C$152*F$124</f>
        <v>0</v>
      </c>
      <c r="G172" s="21">
        <f>((F104*(1-'5.Closing Stock &amp; W Capital'!$D$14))+(E104*'5.Closing Stock &amp; W Capital'!$D$14))*$C$152*G$124</f>
        <v>0</v>
      </c>
      <c r="H172" s="21">
        <f>((G104*(1-'5.Closing Stock &amp; W Capital'!$D$14))+(F104*'5.Closing Stock &amp; W Capital'!$D$14))*$C$152*H$124</f>
        <v>0</v>
      </c>
      <c r="I172" s="21">
        <f>((H104*(1-'5.Closing Stock &amp; W Capital'!$D$14))+(G104*'5.Closing Stock &amp; W Capital'!$D$14))*$C$152*I$124</f>
        <v>0</v>
      </c>
      <c r="J172" s="21">
        <f>((I104*(1-'5.Closing Stock &amp; W Capital'!$D$14))+(H104*'5.Closing Stock &amp; W Capital'!$D$14))*$C$152*J$124</f>
        <v>0</v>
      </c>
      <c r="K172" s="19"/>
      <c r="U172" s="19"/>
      <c r="V172" s="19"/>
      <c r="W172" s="19"/>
    </row>
    <row r="173" spans="1:23" x14ac:dyDescent="0.35">
      <c r="A173" s="20">
        <f t="shared" si="53"/>
        <v>0</v>
      </c>
      <c r="B173" s="20"/>
      <c r="C173" s="49"/>
      <c r="D173" s="21">
        <f>(C105*(1-'5.Closing Stock &amp; W Capital'!$D$14))*$C173*D$124</f>
        <v>0</v>
      </c>
      <c r="E173" s="21">
        <f>((D105*(1-'5.Closing Stock &amp; W Capital'!$D$14))+(C105*'5.Closing Stock &amp; W Capital'!$D$14))*$C173*E$124</f>
        <v>0</v>
      </c>
      <c r="F173" s="21">
        <f>((E105*(1-'5.Closing Stock &amp; W Capital'!$D$14))+(D105*'5.Closing Stock &amp; W Capital'!$D$14))*$C$152*F$124</f>
        <v>0</v>
      </c>
      <c r="G173" s="21">
        <f>((F105*(1-'5.Closing Stock &amp; W Capital'!$D$14))+(E105*'5.Closing Stock &amp; W Capital'!$D$14))*$C$152*G$124</f>
        <v>0</v>
      </c>
      <c r="H173" s="21">
        <f>((G105*(1-'5.Closing Stock &amp; W Capital'!$D$14))+(F105*'5.Closing Stock &amp; W Capital'!$D$14))*$C$152*H$124</f>
        <v>0</v>
      </c>
      <c r="I173" s="21">
        <f>((H105*(1-'5.Closing Stock &amp; W Capital'!$D$14))+(G105*'5.Closing Stock &amp; W Capital'!$D$14))*$C$152*I$124</f>
        <v>0</v>
      </c>
      <c r="J173" s="21">
        <f>((I105*(1-'5.Closing Stock &amp; W Capital'!$D$14))+(H105*'5.Closing Stock &amp; W Capital'!$D$14))*$C$152*J$124</f>
        <v>0</v>
      </c>
      <c r="K173" s="19"/>
      <c r="U173" s="19"/>
      <c r="V173" s="19"/>
      <c r="W173" s="19"/>
    </row>
    <row r="174" spans="1:23" x14ac:dyDescent="0.35">
      <c r="A174" s="20">
        <f t="shared" si="53"/>
        <v>0</v>
      </c>
      <c r="B174" s="20"/>
      <c r="C174" s="49"/>
      <c r="D174" s="21">
        <f>(C106*(1-'5.Closing Stock &amp; W Capital'!$D$14))*$C174*D$124</f>
        <v>0</v>
      </c>
      <c r="E174" s="21">
        <f>((D106*(1-'5.Closing Stock &amp; W Capital'!$D$14))+(C106*'5.Closing Stock &amp; W Capital'!$D$14))*$C174*E$124</f>
        <v>0</v>
      </c>
      <c r="F174" s="21">
        <f>((E106*(1-'5.Closing Stock &amp; W Capital'!$D$14))+(D106*'5.Closing Stock &amp; W Capital'!$D$14))*$C$152*F$124</f>
        <v>0</v>
      </c>
      <c r="G174" s="21">
        <f>((F106*(1-'5.Closing Stock &amp; W Capital'!$D$14))+(E106*'5.Closing Stock &amp; W Capital'!$D$14))*$C$152*G$124</f>
        <v>0</v>
      </c>
      <c r="H174" s="21">
        <f>((G106*(1-'5.Closing Stock &amp; W Capital'!$D$14))+(F106*'5.Closing Stock &amp; W Capital'!$D$14))*$C$152*H$124</f>
        <v>0</v>
      </c>
      <c r="I174" s="21">
        <f>((H106*(1-'5.Closing Stock &amp; W Capital'!$D$14))+(G106*'5.Closing Stock &amp; W Capital'!$D$14))*$C$152*I$124</f>
        <v>0</v>
      </c>
      <c r="J174" s="21">
        <f>((I106*(1-'5.Closing Stock &amp; W Capital'!$D$14))+(H106*'5.Closing Stock &amp; W Capital'!$D$14))*$C$152*J$124</f>
        <v>0</v>
      </c>
      <c r="K174" s="19"/>
      <c r="U174" s="19"/>
      <c r="V174" s="19"/>
      <c r="W174" s="19"/>
    </row>
    <row r="175" spans="1:23" x14ac:dyDescent="0.35">
      <c r="A175" s="20" t="str">
        <f t="shared" si="53"/>
        <v>Pomegranate</v>
      </c>
      <c r="B175" s="20"/>
      <c r="C175" s="49"/>
      <c r="D175" s="21">
        <f>(C107*(1-'5.Closing Stock &amp; W Capital'!$D$14))*$C175*D$124</f>
        <v>0</v>
      </c>
      <c r="E175" s="21">
        <f>((D107*(1-'5.Closing Stock &amp; W Capital'!$D$14))+(C107*'5.Closing Stock &amp; W Capital'!$D$14))*$C175*E$124</f>
        <v>0</v>
      </c>
      <c r="F175" s="21">
        <f>((E107*(1-'5.Closing Stock &amp; W Capital'!$D$14))+(D107*'5.Closing Stock &amp; W Capital'!$D$14))*$C$152*F$124</f>
        <v>0</v>
      </c>
      <c r="G175" s="21">
        <f>((F107*(1-'5.Closing Stock &amp; W Capital'!$D$14))+(E107*'5.Closing Stock &amp; W Capital'!$D$14))*$C$152*G$124</f>
        <v>0</v>
      </c>
      <c r="H175" s="21">
        <f>((G107*(1-'5.Closing Stock &amp; W Capital'!$D$14))+(F107*'5.Closing Stock &amp; W Capital'!$D$14))*$C$152*H$124</f>
        <v>0</v>
      </c>
      <c r="I175" s="21">
        <f>((H107*(1-'5.Closing Stock &amp; W Capital'!$D$14))+(G107*'5.Closing Stock &amp; W Capital'!$D$14))*$C$152*I$124</f>
        <v>0</v>
      </c>
      <c r="J175" s="21">
        <f>((I107*(1-'5.Closing Stock &amp; W Capital'!$D$14))+(H107*'5.Closing Stock &amp; W Capital'!$D$14))*$C$152*J$124</f>
        <v>0</v>
      </c>
      <c r="K175" s="19"/>
      <c r="U175" s="19"/>
      <c r="V175" s="19"/>
      <c r="W175" s="19"/>
    </row>
    <row r="176" spans="1:23" x14ac:dyDescent="0.35">
      <c r="A176" s="20" t="str">
        <f t="shared" si="53"/>
        <v>Custard Apple</v>
      </c>
      <c r="B176" s="20"/>
      <c r="C176" s="49"/>
      <c r="D176" s="21">
        <f>(C108*(1-'5.Closing Stock &amp; W Capital'!$D$14))*$C176*D$124</f>
        <v>0</v>
      </c>
      <c r="E176" s="21">
        <f>((D108*(1-'5.Closing Stock &amp; W Capital'!$D$14))+(C108*'5.Closing Stock &amp; W Capital'!$D$14))*$C176*E$124</f>
        <v>0</v>
      </c>
      <c r="F176" s="21">
        <f>((E108*(1-'5.Closing Stock &amp; W Capital'!$D$14))+(D108*'5.Closing Stock &amp; W Capital'!$D$14))*$C$152*F$124</f>
        <v>0</v>
      </c>
      <c r="G176" s="21">
        <f>((F108*(1-'5.Closing Stock &amp; W Capital'!$D$14))+(E108*'5.Closing Stock &amp; W Capital'!$D$14))*$C$152*G$124</f>
        <v>0</v>
      </c>
      <c r="H176" s="21">
        <f>((G108*(1-'5.Closing Stock &amp; W Capital'!$D$14))+(F108*'5.Closing Stock &amp; W Capital'!$D$14))*$C$152*H$124</f>
        <v>0</v>
      </c>
      <c r="I176" s="21">
        <f>((H108*(1-'5.Closing Stock &amp; W Capital'!$D$14))+(G108*'5.Closing Stock &amp; W Capital'!$D$14))*$C$152*I$124</f>
        <v>0</v>
      </c>
      <c r="J176" s="21">
        <f>((I108*(1-'5.Closing Stock &amp; W Capital'!$D$14))+(H108*'5.Closing Stock &amp; W Capital'!$D$14))*$C$152*J$124</f>
        <v>0</v>
      </c>
      <c r="K176" s="19"/>
      <c r="U176" s="19"/>
      <c r="V176" s="19"/>
      <c r="W176" s="19"/>
    </row>
    <row r="177" spans="1:23" x14ac:dyDescent="0.35">
      <c r="A177" s="20" t="str">
        <f t="shared" si="53"/>
        <v>Guava</v>
      </c>
      <c r="B177" s="20"/>
      <c r="C177" s="49"/>
      <c r="D177" s="21">
        <f>(C109*(1-'5.Closing Stock &amp; W Capital'!$D$14))*$C177*D$124</f>
        <v>0</v>
      </c>
      <c r="E177" s="21">
        <f>((D109*(1-'5.Closing Stock &amp; W Capital'!$D$14))+(C109*'5.Closing Stock &amp; W Capital'!$D$14))*$C177*E$124</f>
        <v>0</v>
      </c>
      <c r="F177" s="21">
        <f>((E109*(1-'5.Closing Stock &amp; W Capital'!$D$14))+(D109*'5.Closing Stock &amp; W Capital'!$D$14))*$C$152*F$124</f>
        <v>0</v>
      </c>
      <c r="G177" s="21">
        <f>((F109*(1-'5.Closing Stock &amp; W Capital'!$D$14))+(E109*'5.Closing Stock &amp; W Capital'!$D$14))*$C$152*G$124</f>
        <v>0</v>
      </c>
      <c r="H177" s="21">
        <f>((G109*(1-'5.Closing Stock &amp; W Capital'!$D$14))+(F109*'5.Closing Stock &amp; W Capital'!$D$14))*$C$152*H$124</f>
        <v>0</v>
      </c>
      <c r="I177" s="21">
        <f>((H109*(1-'5.Closing Stock &amp; W Capital'!$D$14))+(G109*'5.Closing Stock &amp; W Capital'!$D$14))*$C$152*I$124</f>
        <v>0</v>
      </c>
      <c r="J177" s="21">
        <f>((I109*(1-'5.Closing Stock &amp; W Capital'!$D$14))+(H109*'5.Closing Stock &amp; W Capital'!$D$14))*$C$152*J$124</f>
        <v>0</v>
      </c>
      <c r="K177" s="19"/>
      <c r="U177" s="19"/>
      <c r="V177" s="19"/>
      <c r="W177" s="19"/>
    </row>
    <row r="178" spans="1:23" x14ac:dyDescent="0.35">
      <c r="A178" s="20" t="str">
        <f t="shared" si="53"/>
        <v>Citrus</v>
      </c>
      <c r="B178" s="20"/>
      <c r="C178" s="49"/>
      <c r="D178" s="21">
        <f>(C110*(1-'5.Closing Stock &amp; W Capital'!$D$14))*$C178*D$124</f>
        <v>0</v>
      </c>
      <c r="E178" s="21">
        <f>((D110*(1-'5.Closing Stock &amp; W Capital'!$D$14))+(C110*'5.Closing Stock &amp; W Capital'!$D$14))*$C178*E$124</f>
        <v>0</v>
      </c>
      <c r="F178" s="21">
        <f>((E110*(1-'5.Closing Stock &amp; W Capital'!$D$14))+(D110*'5.Closing Stock &amp; W Capital'!$D$14))*$C$152*F$124</f>
        <v>0</v>
      </c>
      <c r="G178" s="21">
        <f>((F110*(1-'5.Closing Stock &amp; W Capital'!$D$14))+(E110*'5.Closing Stock &amp; W Capital'!$D$14))*$C$152*G$124</f>
        <v>0</v>
      </c>
      <c r="H178" s="21">
        <f>((G110*(1-'5.Closing Stock &amp; W Capital'!$D$14))+(F110*'5.Closing Stock &amp; W Capital'!$D$14))*$C$152*H$124</f>
        <v>0</v>
      </c>
      <c r="I178" s="21">
        <f>((H110*(1-'5.Closing Stock &amp; W Capital'!$D$14))+(G110*'5.Closing Stock &amp; W Capital'!$D$14))*$C$152*I$124</f>
        <v>0</v>
      </c>
      <c r="J178" s="21">
        <f>((I110*(1-'5.Closing Stock &amp; W Capital'!$D$14))+(H110*'5.Closing Stock &amp; W Capital'!$D$14))*$C$152*J$124</f>
        <v>0</v>
      </c>
      <c r="K178" s="19"/>
      <c r="U178" s="19"/>
      <c r="V178" s="19"/>
      <c r="W178" s="19"/>
    </row>
    <row r="179" spans="1:23" x14ac:dyDescent="0.35">
      <c r="A179" s="20">
        <f t="shared" si="53"/>
        <v>0</v>
      </c>
      <c r="B179" s="20"/>
      <c r="C179" s="49"/>
      <c r="D179" s="21"/>
      <c r="E179" s="21"/>
      <c r="F179" s="21"/>
      <c r="G179" s="21"/>
      <c r="H179" s="21"/>
      <c r="I179" s="21"/>
      <c r="J179" s="21"/>
      <c r="K179" s="19"/>
      <c r="U179" s="19"/>
      <c r="V179" s="19"/>
      <c r="W179" s="19"/>
    </row>
    <row r="180" spans="1:23" x14ac:dyDescent="0.35">
      <c r="A180" s="20"/>
      <c r="B180" s="20"/>
      <c r="C180" s="21"/>
      <c r="D180" s="21"/>
      <c r="E180" s="21"/>
      <c r="F180" s="21"/>
      <c r="G180" s="21"/>
      <c r="H180" s="21"/>
      <c r="I180" s="21"/>
      <c r="J180" s="21"/>
      <c r="K180" s="19"/>
      <c r="U180" s="19"/>
      <c r="V180" s="19"/>
      <c r="W180" s="19"/>
    </row>
    <row r="181" spans="1:23" x14ac:dyDescent="0.35">
      <c r="A181" s="20" t="s">
        <v>285</v>
      </c>
      <c r="B181" s="20"/>
      <c r="C181" s="21"/>
      <c r="D181" s="21"/>
      <c r="E181" s="21"/>
      <c r="F181" s="21"/>
      <c r="G181" s="21"/>
      <c r="H181" s="21"/>
      <c r="I181" s="21"/>
      <c r="J181" s="21"/>
      <c r="K181" s="19"/>
      <c r="U181" s="19"/>
      <c r="V181" s="19"/>
      <c r="W181" s="19"/>
    </row>
    <row r="182" spans="1:23" x14ac:dyDescent="0.35">
      <c r="A182" s="20" t="s">
        <v>401</v>
      </c>
      <c r="B182" s="20"/>
      <c r="C182" s="49">
        <v>0</v>
      </c>
      <c r="D182" s="21">
        <f>(C114*(1-'5.Closing Stock &amp; W Capital'!$D$14))*$C$182*D124</f>
        <v>0</v>
      </c>
      <c r="E182" s="21">
        <f>((D114*(1-'5.Closing Stock &amp; W Capital'!$D$14))+(C114*'5.Closing Stock &amp; W Capital'!$D$14))*$C$182*E124</f>
        <v>0</v>
      </c>
      <c r="F182" s="21">
        <f>((E114*(1-'5.Closing Stock &amp; W Capital'!$D$14))+(D114*'5.Closing Stock &amp; W Capital'!$D$14))*$C$182*F124</f>
        <v>0</v>
      </c>
      <c r="G182" s="21">
        <f>((F114*(1-'5.Closing Stock &amp; W Capital'!$D$14))+(E114*'5.Closing Stock &amp; W Capital'!$D$14))*$C$182*G124</f>
        <v>0</v>
      </c>
      <c r="H182" s="21">
        <f>((G114*(1-'5.Closing Stock &amp; W Capital'!$D$14))+(F114*'5.Closing Stock &amp; W Capital'!$D$14))*$C$182*H124</f>
        <v>0</v>
      </c>
      <c r="I182" s="21">
        <f>((H114*(1-'5.Closing Stock &amp; W Capital'!$D$14))+(G114*'5.Closing Stock &amp; W Capital'!$D$14))*$C$182*I124</f>
        <v>0</v>
      </c>
      <c r="J182" s="21">
        <f>((I114*(1-'5.Closing Stock &amp; W Capital'!$D$14))+(H114*'5.Closing Stock &amp; W Capital'!$D$14))*$C$182*J124</f>
        <v>0</v>
      </c>
      <c r="K182" s="19"/>
      <c r="U182" s="19"/>
      <c r="V182" s="19"/>
      <c r="W182" s="19"/>
    </row>
    <row r="183" spans="1:23" x14ac:dyDescent="0.35">
      <c r="A183" s="20" t="s">
        <v>175</v>
      </c>
      <c r="B183" s="20"/>
      <c r="C183" s="49">
        <v>0</v>
      </c>
      <c r="D183" s="21">
        <f>(C115*(1-'5.Closing Stock &amp; W Capital'!$D$14))*$C$183*D124</f>
        <v>0</v>
      </c>
      <c r="E183" s="21">
        <f>((D115*(1-'5.Closing Stock &amp; W Capital'!$D$14))+(C115*'5.Closing Stock &amp; W Capital'!$D$14))*$C$183*E124</f>
        <v>0</v>
      </c>
      <c r="F183" s="21">
        <f>((E115*(1-'5.Closing Stock &amp; W Capital'!$D$14))+(D115*'5.Closing Stock &amp; W Capital'!$D$14))*$C$183*F124</f>
        <v>0</v>
      </c>
      <c r="G183" s="21">
        <f>((F115*(1-'5.Closing Stock &amp; W Capital'!$D$14))+(E115*'5.Closing Stock &amp; W Capital'!$D$14))*$C$183*G124</f>
        <v>0</v>
      </c>
      <c r="H183" s="21">
        <f>((G115*(1-'5.Closing Stock &amp; W Capital'!$D$14))+(F115*'5.Closing Stock &amp; W Capital'!$D$14))*$C$183*H124</f>
        <v>0</v>
      </c>
      <c r="I183" s="21">
        <f>((H115*(1-'5.Closing Stock &amp; W Capital'!$D$14))+(G115*'5.Closing Stock &amp; W Capital'!$D$14))*$C$183*I124</f>
        <v>0</v>
      </c>
      <c r="J183" s="21">
        <f>((I115*(1-'5.Closing Stock &amp; W Capital'!$D$14))+(H115*'5.Closing Stock &amp; W Capital'!$D$14))*$C$183*J124</f>
        <v>0</v>
      </c>
      <c r="K183" s="19"/>
      <c r="U183" s="19"/>
      <c r="V183" s="19"/>
      <c r="W183" s="19"/>
    </row>
    <row r="184" spans="1:23" x14ac:dyDescent="0.35">
      <c r="A184" s="20" t="s">
        <v>177</v>
      </c>
      <c r="B184" s="20"/>
      <c r="C184" s="49">
        <v>0</v>
      </c>
      <c r="D184" s="21">
        <f>(C116*(1-'5.Closing Stock &amp; W Capital'!$D$14))*$C$184*D124</f>
        <v>0</v>
      </c>
      <c r="E184" s="21">
        <f>((D116*(1-'5.Closing Stock &amp; W Capital'!$D$14))+(C116*'5.Closing Stock &amp; W Capital'!$D$14))*$C$184*E124</f>
        <v>0</v>
      </c>
      <c r="F184" s="21">
        <f>((E116*(1-'5.Closing Stock &amp; W Capital'!$D$14))+(D116*'5.Closing Stock &amp; W Capital'!$D$14))*$C$184*F124</f>
        <v>0</v>
      </c>
      <c r="G184" s="21">
        <f>((F116*(1-'5.Closing Stock &amp; W Capital'!$D$14))+(E116*'5.Closing Stock &amp; W Capital'!$D$14))*$C$184*G124</f>
        <v>0</v>
      </c>
      <c r="H184" s="21">
        <f>((G116*(1-'5.Closing Stock &amp; W Capital'!$D$14))+(F116*'5.Closing Stock &amp; W Capital'!$D$14))*$C$184*H124</f>
        <v>0</v>
      </c>
      <c r="I184" s="21">
        <f>((H116*(1-'5.Closing Stock &amp; W Capital'!$D$14))+(G116*'5.Closing Stock &amp; W Capital'!$D$14))*$C$184*I124</f>
        <v>0</v>
      </c>
      <c r="J184" s="21">
        <f>((I116*(1-'5.Closing Stock &amp; W Capital'!$D$14))+(H116*'5.Closing Stock &amp; W Capital'!$D$14))*$C$184*J124</f>
        <v>0</v>
      </c>
      <c r="K184" s="19"/>
      <c r="U184" s="19"/>
      <c r="V184" s="19"/>
      <c r="W184" s="19"/>
    </row>
    <row r="185" spans="1:23" x14ac:dyDescent="0.35">
      <c r="A185" s="20"/>
      <c r="B185" s="20"/>
      <c r="C185" s="21"/>
      <c r="D185" s="21"/>
      <c r="E185" s="21"/>
      <c r="F185" s="21"/>
      <c r="G185" s="21"/>
      <c r="H185" s="21"/>
      <c r="I185" s="21"/>
      <c r="J185" s="21"/>
      <c r="K185" s="19"/>
      <c r="U185" s="19"/>
      <c r="V185" s="19"/>
      <c r="W185" s="19"/>
    </row>
    <row r="186" spans="1:23" x14ac:dyDescent="0.35">
      <c r="A186" s="20" t="s">
        <v>176</v>
      </c>
      <c r="B186" s="20"/>
      <c r="C186" s="21"/>
      <c r="D186" s="21"/>
      <c r="E186" s="21"/>
      <c r="F186" s="21"/>
      <c r="G186" s="21"/>
      <c r="H186" s="21"/>
      <c r="I186" s="21"/>
      <c r="J186" s="21"/>
      <c r="K186" s="19"/>
      <c r="U186" s="19"/>
      <c r="V186" s="19"/>
      <c r="W186" s="19"/>
    </row>
    <row r="187" spans="1:23" x14ac:dyDescent="0.35">
      <c r="A187" s="20" t="s">
        <v>182</v>
      </c>
      <c r="B187" s="20"/>
      <c r="C187" s="49">
        <v>0</v>
      </c>
      <c r="D187" s="21">
        <f>(C118*(1-'5.Closing Stock &amp; W Capital'!$D$14))*$C$187*D124</f>
        <v>0</v>
      </c>
      <c r="E187" s="21">
        <f>((D118*(1-'5.Closing Stock &amp; W Capital'!$D$14))+(C118*'5.Closing Stock &amp; W Capital'!$D$14))*$C$187*E124</f>
        <v>0</v>
      </c>
      <c r="F187" s="21">
        <f>((E118*(1-'5.Closing Stock &amp; W Capital'!$D$14))+(D118*'5.Closing Stock &amp; W Capital'!$D$14))*$C$187*F124</f>
        <v>0</v>
      </c>
      <c r="G187" s="21">
        <f>((F118*(1-'5.Closing Stock &amp; W Capital'!$D$14))+(E118*'5.Closing Stock &amp; W Capital'!$D$14))*$C$187*G124</f>
        <v>0</v>
      </c>
      <c r="H187" s="21">
        <f>((G118*(1-'5.Closing Stock &amp; W Capital'!$D$14))+(F118*'5.Closing Stock &amp; W Capital'!$D$14))*$C$187*H124</f>
        <v>0</v>
      </c>
      <c r="I187" s="21">
        <f>((H118*(1-'5.Closing Stock &amp; W Capital'!$D$14))+(G118*'5.Closing Stock &amp; W Capital'!$D$14))*$C$187*I124</f>
        <v>0</v>
      </c>
      <c r="J187" s="21">
        <f>((I118*(1-'5.Closing Stock &amp; W Capital'!$D$14))+(H118*'5.Closing Stock &amp; W Capital'!$D$14))*$C$187*J124</f>
        <v>0</v>
      </c>
      <c r="K187" s="19"/>
      <c r="U187" s="43"/>
      <c r="V187" s="43"/>
      <c r="W187" s="43"/>
    </row>
    <row r="188" spans="1:23" x14ac:dyDescent="0.35">
      <c r="A188" s="20" t="s">
        <v>183</v>
      </c>
      <c r="B188" s="20"/>
      <c r="C188" s="49">
        <v>0</v>
      </c>
      <c r="D188" s="21">
        <f>(C119*(1-'5.Closing Stock &amp; W Capital'!$D$14))*$C$188*D124</f>
        <v>0</v>
      </c>
      <c r="E188" s="21">
        <f>((D119*(1-'5.Closing Stock &amp; W Capital'!$D$14))+(C119*'5.Closing Stock &amp; W Capital'!$D$14))*$C$188*E124</f>
        <v>0</v>
      </c>
      <c r="F188" s="21">
        <f>((E119*(1-'5.Closing Stock &amp; W Capital'!$D$14))+(D119*'5.Closing Stock &amp; W Capital'!$D$14))*$C$188*F124</f>
        <v>0</v>
      </c>
      <c r="G188" s="21">
        <f>((F119*(1-'5.Closing Stock &amp; W Capital'!$D$14))+(E119*'5.Closing Stock &amp; W Capital'!$D$14))*$C$188*G124</f>
        <v>0</v>
      </c>
      <c r="H188" s="21">
        <f>((G119*(1-'5.Closing Stock &amp; W Capital'!$D$14))+(F119*'5.Closing Stock &amp; W Capital'!$D$14))*$C$188*H124</f>
        <v>0</v>
      </c>
      <c r="I188" s="21">
        <f>((H119*(1-'5.Closing Stock &amp; W Capital'!$D$14))+(G119*'5.Closing Stock &amp; W Capital'!$D$14))*$C$188*I124</f>
        <v>0</v>
      </c>
      <c r="J188" s="21">
        <f>((I119*(1-'5.Closing Stock &amp; W Capital'!$D$14))+(H119*'5.Closing Stock &amp; W Capital'!$D$14))*$C$188*J124</f>
        <v>0</v>
      </c>
      <c r="K188" s="19"/>
      <c r="U188" s="19"/>
      <c r="V188" s="19"/>
      <c r="W188" s="19"/>
    </row>
    <row r="189" spans="1:23" x14ac:dyDescent="0.35">
      <c r="A189" s="20"/>
      <c r="B189" s="20"/>
      <c r="C189" s="21"/>
      <c r="D189" s="21"/>
      <c r="E189" s="21"/>
      <c r="F189" s="21"/>
      <c r="G189" s="21"/>
      <c r="H189" s="21"/>
      <c r="I189" s="21"/>
      <c r="J189" s="21"/>
      <c r="K189" s="19"/>
      <c r="U189" s="19"/>
      <c r="V189" s="19"/>
      <c r="W189" s="19"/>
    </row>
    <row r="190" spans="1:23" x14ac:dyDescent="0.35">
      <c r="A190" s="20"/>
      <c r="B190" s="20"/>
      <c r="C190" s="21"/>
      <c r="D190" s="21"/>
      <c r="E190" s="21"/>
      <c r="F190" s="21"/>
      <c r="G190" s="21"/>
      <c r="H190" s="21"/>
      <c r="I190" s="21"/>
      <c r="J190" s="21"/>
      <c r="K190" s="19"/>
      <c r="U190" s="19"/>
      <c r="V190" s="19"/>
      <c r="W190" s="19"/>
    </row>
    <row r="191" spans="1:23" x14ac:dyDescent="0.35">
      <c r="A191" s="22" t="s">
        <v>141</v>
      </c>
      <c r="B191" s="22"/>
      <c r="C191" s="27"/>
      <c r="D191" s="27">
        <f t="shared" ref="D191:J191" si="54">SUM(D130:D188)</f>
        <v>0</v>
      </c>
      <c r="E191" s="27">
        <f t="shared" si="54"/>
        <v>0</v>
      </c>
      <c r="F191" s="27">
        <f t="shared" si="54"/>
        <v>0</v>
      </c>
      <c r="G191" s="27">
        <f t="shared" si="54"/>
        <v>0</v>
      </c>
      <c r="H191" s="27">
        <f t="shared" si="54"/>
        <v>0</v>
      </c>
      <c r="I191" s="27">
        <f t="shared" si="54"/>
        <v>0</v>
      </c>
      <c r="J191" s="27">
        <f t="shared" si="54"/>
        <v>0</v>
      </c>
      <c r="K191" s="19"/>
      <c r="U191" s="19"/>
      <c r="V191" s="19"/>
      <c r="W191" s="19"/>
    </row>
    <row r="192" spans="1:23" x14ac:dyDescent="0.35">
      <c r="A192" s="20"/>
      <c r="B192" s="20"/>
      <c r="C192" s="21"/>
      <c r="D192" s="21"/>
      <c r="E192" s="21"/>
      <c r="F192" s="21"/>
      <c r="G192" s="21"/>
      <c r="H192" s="21"/>
      <c r="I192" s="21"/>
      <c r="J192" s="21"/>
      <c r="K192" s="19"/>
      <c r="U192" s="19"/>
      <c r="V192" s="19"/>
      <c r="W192" s="19"/>
    </row>
    <row r="193" spans="1:23" x14ac:dyDescent="0.35">
      <c r="A193" s="20"/>
      <c r="B193" s="20"/>
      <c r="C193" s="21"/>
      <c r="D193" s="21"/>
      <c r="E193" s="21"/>
      <c r="F193" s="21"/>
      <c r="G193" s="21"/>
      <c r="H193" s="21"/>
      <c r="I193" s="21"/>
      <c r="J193" s="21"/>
      <c r="K193" s="19"/>
      <c r="U193" s="19"/>
      <c r="V193" s="19"/>
      <c r="W193" s="19"/>
    </row>
    <row r="194" spans="1:23" x14ac:dyDescent="0.35">
      <c r="A194" s="22" t="s">
        <v>140</v>
      </c>
      <c r="B194" s="22"/>
      <c r="C194" s="21"/>
      <c r="D194" s="21"/>
      <c r="E194" s="21"/>
      <c r="F194" s="21"/>
      <c r="G194" s="21"/>
      <c r="H194" s="21"/>
      <c r="I194" s="21"/>
      <c r="J194" s="21"/>
      <c r="K194" s="19"/>
      <c r="U194" s="19"/>
      <c r="V194" s="19"/>
      <c r="W194" s="19"/>
    </row>
    <row r="195" spans="1:23" x14ac:dyDescent="0.35">
      <c r="A195" s="22" t="str">
        <f>A128</f>
        <v>Seeds (Rate/KG)</v>
      </c>
      <c r="B195" s="22"/>
      <c r="C195" s="21"/>
      <c r="D195" s="21"/>
      <c r="E195" s="21"/>
      <c r="F195" s="21"/>
      <c r="G195" s="21"/>
      <c r="H195" s="21"/>
      <c r="I195" s="21"/>
      <c r="J195" s="21"/>
      <c r="K195" s="19"/>
      <c r="U195" s="19"/>
      <c r="V195" s="19"/>
      <c r="W195" s="19"/>
    </row>
    <row r="196" spans="1:23" x14ac:dyDescent="0.35">
      <c r="A196" s="19" t="s">
        <v>310</v>
      </c>
      <c r="B196" s="19"/>
      <c r="C196" s="19"/>
      <c r="D196" s="19"/>
      <c r="E196" s="19"/>
      <c r="F196" s="19"/>
      <c r="G196" s="19"/>
      <c r="H196" s="19"/>
      <c r="I196" s="19"/>
      <c r="J196" s="19"/>
      <c r="K196" s="19"/>
      <c r="U196" s="19"/>
      <c r="V196" s="19"/>
      <c r="W196" s="19"/>
    </row>
    <row r="197" spans="1:23" x14ac:dyDescent="0.35">
      <c r="A197" s="20" t="str">
        <f t="shared" ref="A197:A238" si="55">A130</f>
        <v>Soybean</v>
      </c>
      <c r="B197" s="19"/>
      <c r="C197" s="49">
        <v>85</v>
      </c>
      <c r="D197" s="21">
        <f t="shared" ref="D197:J206" si="56">C62*$C197*D$124</f>
        <v>0</v>
      </c>
      <c r="E197" s="21">
        <f t="shared" si="56"/>
        <v>0</v>
      </c>
      <c r="F197" s="21">
        <f t="shared" si="56"/>
        <v>0</v>
      </c>
      <c r="G197" s="21">
        <f t="shared" si="56"/>
        <v>0</v>
      </c>
      <c r="H197" s="21">
        <f t="shared" si="56"/>
        <v>0</v>
      </c>
      <c r="I197" s="21">
        <f t="shared" si="56"/>
        <v>0</v>
      </c>
      <c r="J197" s="21">
        <f t="shared" si="56"/>
        <v>0</v>
      </c>
      <c r="K197" s="19"/>
      <c r="U197" s="19"/>
      <c r="V197" s="19"/>
      <c r="W197" s="19"/>
    </row>
    <row r="198" spans="1:23" x14ac:dyDescent="0.35">
      <c r="A198" s="20" t="str">
        <f t="shared" si="55"/>
        <v>Tur</v>
      </c>
      <c r="B198" s="20"/>
      <c r="C198" s="49">
        <v>75</v>
      </c>
      <c r="D198" s="21">
        <f t="shared" si="56"/>
        <v>0</v>
      </c>
      <c r="E198" s="21">
        <f t="shared" si="56"/>
        <v>0</v>
      </c>
      <c r="F198" s="21">
        <f t="shared" si="56"/>
        <v>0</v>
      </c>
      <c r="G198" s="21">
        <f t="shared" si="56"/>
        <v>0</v>
      </c>
      <c r="H198" s="21">
        <f t="shared" si="56"/>
        <v>0</v>
      </c>
      <c r="I198" s="21">
        <f t="shared" si="56"/>
        <v>0</v>
      </c>
      <c r="J198" s="21">
        <f t="shared" si="56"/>
        <v>0</v>
      </c>
      <c r="K198" s="19"/>
      <c r="U198" s="19"/>
      <c r="V198" s="19"/>
      <c r="W198" s="19"/>
    </row>
    <row r="199" spans="1:23" x14ac:dyDescent="0.35">
      <c r="A199" s="20" t="str">
        <f t="shared" si="55"/>
        <v>Turmeric</v>
      </c>
      <c r="B199" s="20"/>
      <c r="C199" s="49">
        <v>57</v>
      </c>
      <c r="D199" s="21">
        <f t="shared" si="56"/>
        <v>0</v>
      </c>
      <c r="E199" s="21">
        <f t="shared" si="56"/>
        <v>0</v>
      </c>
      <c r="F199" s="21">
        <f t="shared" si="56"/>
        <v>0</v>
      </c>
      <c r="G199" s="21">
        <f t="shared" si="56"/>
        <v>0</v>
      </c>
      <c r="H199" s="21">
        <f t="shared" si="56"/>
        <v>0</v>
      </c>
      <c r="I199" s="21">
        <f t="shared" si="56"/>
        <v>0</v>
      </c>
      <c r="J199" s="21">
        <f t="shared" si="56"/>
        <v>0</v>
      </c>
      <c r="K199" s="19"/>
      <c r="U199" s="19"/>
      <c r="V199" s="19"/>
      <c r="W199" s="19"/>
    </row>
    <row r="200" spans="1:23" x14ac:dyDescent="0.35">
      <c r="A200" s="20" t="str">
        <f t="shared" si="55"/>
        <v>Moong</v>
      </c>
      <c r="B200" s="20"/>
      <c r="C200" s="49">
        <v>80</v>
      </c>
      <c r="D200" s="21">
        <f t="shared" si="56"/>
        <v>0</v>
      </c>
      <c r="E200" s="21">
        <f t="shared" si="56"/>
        <v>0</v>
      </c>
      <c r="F200" s="21">
        <f t="shared" si="56"/>
        <v>0</v>
      </c>
      <c r="G200" s="21">
        <f t="shared" si="56"/>
        <v>0</v>
      </c>
      <c r="H200" s="21">
        <f t="shared" si="56"/>
        <v>0</v>
      </c>
      <c r="I200" s="21">
        <f t="shared" si="56"/>
        <v>0</v>
      </c>
      <c r="J200" s="21">
        <f t="shared" si="56"/>
        <v>0</v>
      </c>
      <c r="K200" s="19"/>
      <c r="L200" s="19"/>
      <c r="M200" s="19"/>
      <c r="N200" s="19"/>
      <c r="O200" s="19"/>
      <c r="P200" s="19"/>
      <c r="Q200" s="19"/>
      <c r="R200" s="19"/>
      <c r="S200" s="19"/>
      <c r="T200" s="19"/>
      <c r="U200" s="19"/>
      <c r="V200" s="19"/>
      <c r="W200" s="19"/>
    </row>
    <row r="201" spans="1:23" x14ac:dyDescent="0.35">
      <c r="A201" s="20" t="str">
        <f t="shared" si="55"/>
        <v>Maize</v>
      </c>
      <c r="B201" s="20"/>
      <c r="C201" s="49">
        <v>25</v>
      </c>
      <c r="D201" s="21">
        <f t="shared" si="56"/>
        <v>0</v>
      </c>
      <c r="E201" s="21">
        <f t="shared" si="56"/>
        <v>0</v>
      </c>
      <c r="F201" s="21">
        <f t="shared" si="56"/>
        <v>0</v>
      </c>
      <c r="G201" s="21">
        <f t="shared" si="56"/>
        <v>0</v>
      </c>
      <c r="H201" s="21">
        <f t="shared" si="56"/>
        <v>0</v>
      </c>
      <c r="I201" s="21">
        <f t="shared" si="56"/>
        <v>0</v>
      </c>
      <c r="J201" s="21">
        <f t="shared" si="56"/>
        <v>0</v>
      </c>
      <c r="K201" s="19"/>
      <c r="L201" s="19"/>
      <c r="M201" s="19"/>
      <c r="N201" s="19"/>
      <c r="O201" s="19"/>
      <c r="P201" s="19"/>
      <c r="Q201" s="19"/>
      <c r="R201" s="19"/>
      <c r="S201" s="19"/>
      <c r="T201" s="19"/>
      <c r="U201" s="19"/>
      <c r="V201" s="19"/>
      <c r="W201" s="19"/>
    </row>
    <row r="202" spans="1:23" x14ac:dyDescent="0.35">
      <c r="A202" s="20" t="str">
        <f t="shared" si="55"/>
        <v>Udid</v>
      </c>
      <c r="B202" s="20"/>
      <c r="C202" s="49">
        <v>70</v>
      </c>
      <c r="D202" s="21">
        <f t="shared" si="56"/>
        <v>0</v>
      </c>
      <c r="E202" s="21">
        <f t="shared" si="56"/>
        <v>0</v>
      </c>
      <c r="F202" s="21">
        <f t="shared" si="56"/>
        <v>0</v>
      </c>
      <c r="G202" s="21">
        <f t="shared" si="56"/>
        <v>0</v>
      </c>
      <c r="H202" s="21">
        <f t="shared" si="56"/>
        <v>0</v>
      </c>
      <c r="I202" s="21">
        <f t="shared" si="56"/>
        <v>0</v>
      </c>
      <c r="J202" s="21">
        <f t="shared" si="56"/>
        <v>0</v>
      </c>
      <c r="K202" s="19"/>
      <c r="L202" s="19"/>
      <c r="M202" s="19"/>
      <c r="N202" s="19"/>
      <c r="O202" s="19"/>
      <c r="P202" s="19"/>
      <c r="Q202" s="19"/>
      <c r="R202" s="19"/>
      <c r="S202" s="19"/>
      <c r="T202" s="19"/>
      <c r="U202" s="19"/>
      <c r="V202" s="19"/>
      <c r="W202" s="19"/>
    </row>
    <row r="203" spans="1:23" x14ac:dyDescent="0.35">
      <c r="A203" s="20" t="str">
        <f t="shared" si="55"/>
        <v>Bajra</v>
      </c>
      <c r="B203" s="20"/>
      <c r="C203" s="49">
        <v>25</v>
      </c>
      <c r="D203" s="21">
        <f t="shared" si="56"/>
        <v>0</v>
      </c>
      <c r="E203" s="21">
        <f t="shared" si="56"/>
        <v>0</v>
      </c>
      <c r="F203" s="21">
        <f t="shared" si="56"/>
        <v>0</v>
      </c>
      <c r="G203" s="21">
        <f t="shared" si="56"/>
        <v>0</v>
      </c>
      <c r="H203" s="21">
        <f t="shared" si="56"/>
        <v>0</v>
      </c>
      <c r="I203" s="21">
        <f t="shared" si="56"/>
        <v>0</v>
      </c>
      <c r="J203" s="21">
        <f t="shared" si="56"/>
        <v>0</v>
      </c>
      <c r="K203" s="19"/>
      <c r="L203" s="19"/>
      <c r="M203" s="19"/>
      <c r="N203" s="19"/>
      <c r="O203" s="19"/>
      <c r="P203" s="19"/>
      <c r="Q203" s="19"/>
      <c r="R203" s="19"/>
      <c r="S203" s="19"/>
      <c r="T203" s="19"/>
      <c r="U203" s="19"/>
      <c r="V203" s="19"/>
      <c r="W203" s="19"/>
    </row>
    <row r="204" spans="1:23" x14ac:dyDescent="0.35">
      <c r="A204" s="20" t="str">
        <f t="shared" si="55"/>
        <v>Jawar</v>
      </c>
      <c r="B204" s="20"/>
      <c r="C204" s="49">
        <v>25</v>
      </c>
      <c r="D204" s="21">
        <f t="shared" si="56"/>
        <v>0</v>
      </c>
      <c r="E204" s="21">
        <f t="shared" si="56"/>
        <v>0</v>
      </c>
      <c r="F204" s="21">
        <f t="shared" si="56"/>
        <v>0</v>
      </c>
      <c r="G204" s="21">
        <f t="shared" si="56"/>
        <v>0</v>
      </c>
      <c r="H204" s="21">
        <f t="shared" si="56"/>
        <v>0</v>
      </c>
      <c r="I204" s="21">
        <f t="shared" si="56"/>
        <v>0</v>
      </c>
      <c r="J204" s="21">
        <f t="shared" si="56"/>
        <v>0</v>
      </c>
      <c r="K204" s="19"/>
      <c r="L204" s="19"/>
      <c r="M204" s="19"/>
      <c r="N204" s="19"/>
      <c r="O204" s="19"/>
      <c r="P204" s="19"/>
      <c r="Q204" s="19"/>
      <c r="R204" s="19"/>
      <c r="S204" s="19"/>
      <c r="T204" s="19"/>
      <c r="U204" s="19"/>
      <c r="V204" s="19"/>
      <c r="W204" s="19"/>
    </row>
    <row r="205" spans="1:23" x14ac:dyDescent="0.35">
      <c r="A205" s="22" t="str">
        <f t="shared" si="55"/>
        <v>Rabi Crop</v>
      </c>
      <c r="B205" s="20"/>
      <c r="C205" s="49"/>
      <c r="D205" s="21">
        <f t="shared" si="56"/>
        <v>0</v>
      </c>
      <c r="E205" s="21">
        <f t="shared" si="56"/>
        <v>0</v>
      </c>
      <c r="F205" s="21">
        <f t="shared" si="56"/>
        <v>0</v>
      </c>
      <c r="G205" s="21">
        <f t="shared" si="56"/>
        <v>0</v>
      </c>
      <c r="H205" s="21">
        <f t="shared" si="56"/>
        <v>0</v>
      </c>
      <c r="I205" s="21">
        <f t="shared" si="56"/>
        <v>0</v>
      </c>
      <c r="J205" s="21">
        <f t="shared" si="56"/>
        <v>0</v>
      </c>
      <c r="K205" s="19"/>
      <c r="L205" s="19"/>
      <c r="M205" s="19"/>
      <c r="N205" s="19"/>
      <c r="O205" s="19"/>
      <c r="P205" s="19"/>
      <c r="Q205" s="19"/>
      <c r="R205" s="19"/>
      <c r="S205" s="19"/>
      <c r="T205" s="19"/>
      <c r="U205" s="19"/>
      <c r="V205" s="19"/>
      <c r="W205" s="19"/>
    </row>
    <row r="206" spans="1:23" x14ac:dyDescent="0.35">
      <c r="A206" s="20" t="str">
        <f t="shared" si="55"/>
        <v>Wheat</v>
      </c>
      <c r="B206" s="20"/>
      <c r="C206" s="49">
        <v>35</v>
      </c>
      <c r="D206" s="21">
        <f t="shared" si="56"/>
        <v>0</v>
      </c>
      <c r="E206" s="21">
        <f t="shared" si="56"/>
        <v>0</v>
      </c>
      <c r="F206" s="21">
        <f t="shared" si="56"/>
        <v>0</v>
      </c>
      <c r="G206" s="21">
        <f t="shared" si="56"/>
        <v>0</v>
      </c>
      <c r="H206" s="21">
        <f t="shared" si="56"/>
        <v>0</v>
      </c>
      <c r="I206" s="21">
        <f t="shared" si="56"/>
        <v>0</v>
      </c>
      <c r="J206" s="21">
        <f t="shared" si="56"/>
        <v>0</v>
      </c>
      <c r="K206" s="19"/>
      <c r="L206" s="19"/>
      <c r="M206" s="19"/>
      <c r="N206" s="19"/>
      <c r="O206" s="19"/>
      <c r="P206" s="19"/>
      <c r="Q206" s="19"/>
      <c r="R206" s="19"/>
      <c r="S206" s="19"/>
      <c r="T206" s="19"/>
      <c r="U206" s="19"/>
      <c r="V206" s="19"/>
      <c r="W206" s="19"/>
    </row>
    <row r="207" spans="1:23" x14ac:dyDescent="0.35">
      <c r="A207" s="20" t="str">
        <f t="shared" si="55"/>
        <v>Channa</v>
      </c>
      <c r="B207" s="20"/>
      <c r="C207" s="49">
        <v>70</v>
      </c>
      <c r="D207" s="21">
        <f t="shared" ref="D207:J216" si="57">C72*$C207*D$124</f>
        <v>0</v>
      </c>
      <c r="E207" s="21">
        <f t="shared" si="57"/>
        <v>0</v>
      </c>
      <c r="F207" s="21">
        <f t="shared" si="57"/>
        <v>0</v>
      </c>
      <c r="G207" s="21">
        <f t="shared" si="57"/>
        <v>0</v>
      </c>
      <c r="H207" s="21">
        <f t="shared" si="57"/>
        <v>0</v>
      </c>
      <c r="I207" s="21">
        <f t="shared" si="57"/>
        <v>0</v>
      </c>
      <c r="J207" s="21">
        <f t="shared" si="57"/>
        <v>0</v>
      </c>
      <c r="K207" s="19"/>
      <c r="L207" s="19"/>
      <c r="M207" s="19"/>
      <c r="N207" s="19"/>
      <c r="O207" s="19"/>
      <c r="P207" s="19"/>
      <c r="Q207" s="19"/>
      <c r="R207" s="19"/>
      <c r="S207" s="19"/>
      <c r="T207" s="19"/>
      <c r="U207" s="19"/>
      <c r="V207" s="19"/>
      <c r="W207" s="19"/>
    </row>
    <row r="208" spans="1:23" x14ac:dyDescent="0.35">
      <c r="A208" s="20" t="str">
        <f t="shared" si="55"/>
        <v>Jawar</v>
      </c>
      <c r="B208" s="20"/>
      <c r="C208" s="49">
        <v>25</v>
      </c>
      <c r="D208" s="21">
        <f t="shared" si="57"/>
        <v>0</v>
      </c>
      <c r="E208" s="21">
        <f t="shared" si="57"/>
        <v>0</v>
      </c>
      <c r="F208" s="21">
        <f t="shared" si="57"/>
        <v>0</v>
      </c>
      <c r="G208" s="21">
        <f t="shared" si="57"/>
        <v>0</v>
      </c>
      <c r="H208" s="21">
        <f t="shared" si="57"/>
        <v>0</v>
      </c>
      <c r="I208" s="21">
        <f t="shared" si="57"/>
        <v>0</v>
      </c>
      <c r="J208" s="21">
        <f t="shared" si="57"/>
        <v>0</v>
      </c>
      <c r="K208" s="19"/>
      <c r="L208" s="19"/>
      <c r="M208" s="19"/>
      <c r="N208" s="19"/>
      <c r="O208" s="19"/>
      <c r="P208" s="19"/>
      <c r="Q208" s="19"/>
      <c r="R208" s="19"/>
      <c r="S208" s="19"/>
      <c r="T208" s="19"/>
      <c r="U208" s="19"/>
      <c r="V208" s="19"/>
      <c r="W208" s="19"/>
    </row>
    <row r="209" spans="1:23" x14ac:dyDescent="0.35">
      <c r="A209" s="20" t="str">
        <f t="shared" si="55"/>
        <v>Maize</v>
      </c>
      <c r="B209" s="20"/>
      <c r="C209" s="49">
        <v>25</v>
      </c>
      <c r="D209" s="21">
        <f t="shared" si="57"/>
        <v>0</v>
      </c>
      <c r="E209" s="21">
        <f t="shared" si="57"/>
        <v>0</v>
      </c>
      <c r="F209" s="21">
        <f t="shared" si="57"/>
        <v>0</v>
      </c>
      <c r="G209" s="21">
        <f t="shared" si="57"/>
        <v>0</v>
      </c>
      <c r="H209" s="21">
        <f t="shared" si="57"/>
        <v>0</v>
      </c>
      <c r="I209" s="21">
        <f t="shared" si="57"/>
        <v>0</v>
      </c>
      <c r="J209" s="21">
        <f t="shared" si="57"/>
        <v>0</v>
      </c>
      <c r="K209" s="19"/>
      <c r="L209" s="19"/>
      <c r="M209" s="19"/>
      <c r="N209" s="19"/>
      <c r="O209" s="19"/>
      <c r="P209" s="19"/>
      <c r="Q209" s="19"/>
      <c r="R209" s="19"/>
      <c r="S209" s="19"/>
      <c r="T209" s="19"/>
      <c r="U209" s="19"/>
      <c r="V209" s="19"/>
      <c r="W209" s="19"/>
    </row>
    <row r="210" spans="1:23" x14ac:dyDescent="0.35">
      <c r="A210" s="20" t="str">
        <f t="shared" si="55"/>
        <v>Safflower</v>
      </c>
      <c r="B210" s="20"/>
      <c r="C210" s="49">
        <v>25</v>
      </c>
      <c r="D210" s="21">
        <f t="shared" si="57"/>
        <v>0</v>
      </c>
      <c r="E210" s="21">
        <f t="shared" si="57"/>
        <v>0</v>
      </c>
      <c r="F210" s="21">
        <f t="shared" si="57"/>
        <v>0</v>
      </c>
      <c r="G210" s="21">
        <f t="shared" si="57"/>
        <v>0</v>
      </c>
      <c r="H210" s="21">
        <f t="shared" si="57"/>
        <v>0</v>
      </c>
      <c r="I210" s="21">
        <f t="shared" si="57"/>
        <v>0</v>
      </c>
      <c r="J210" s="21">
        <f t="shared" si="57"/>
        <v>0</v>
      </c>
      <c r="K210" s="19"/>
      <c r="L210" s="19"/>
      <c r="M210" s="19"/>
      <c r="N210" s="19"/>
      <c r="O210" s="19"/>
      <c r="P210" s="19"/>
      <c r="Q210" s="19"/>
      <c r="R210" s="19"/>
      <c r="S210" s="19"/>
      <c r="T210" s="19"/>
      <c r="U210" s="19"/>
      <c r="V210" s="19"/>
      <c r="W210" s="19"/>
    </row>
    <row r="211" spans="1:23" x14ac:dyDescent="0.35">
      <c r="A211" s="20" t="str">
        <f t="shared" si="55"/>
        <v>Groundnut</v>
      </c>
      <c r="B211" s="20"/>
      <c r="C211" s="49"/>
      <c r="D211" s="21">
        <f t="shared" si="57"/>
        <v>0</v>
      </c>
      <c r="E211" s="21">
        <f t="shared" si="57"/>
        <v>0</v>
      </c>
      <c r="F211" s="21">
        <f t="shared" si="57"/>
        <v>0</v>
      </c>
      <c r="G211" s="21">
        <f t="shared" si="57"/>
        <v>0</v>
      </c>
      <c r="H211" s="21">
        <f t="shared" si="57"/>
        <v>0</v>
      </c>
      <c r="I211" s="21">
        <f t="shared" si="57"/>
        <v>0</v>
      </c>
      <c r="J211" s="21">
        <f t="shared" si="57"/>
        <v>0</v>
      </c>
      <c r="K211" s="19"/>
      <c r="L211" s="19"/>
      <c r="M211" s="19"/>
      <c r="N211" s="19"/>
      <c r="O211" s="19"/>
      <c r="P211" s="19"/>
      <c r="Q211" s="19"/>
      <c r="R211" s="19"/>
      <c r="S211" s="19"/>
      <c r="T211" s="19"/>
      <c r="U211" s="19"/>
      <c r="V211" s="19"/>
      <c r="W211" s="19"/>
    </row>
    <row r="212" spans="1:23" x14ac:dyDescent="0.35">
      <c r="A212" s="20">
        <f t="shared" si="55"/>
        <v>0</v>
      </c>
      <c r="B212" s="20"/>
      <c r="C212" s="49"/>
      <c r="D212" s="21">
        <f t="shared" si="57"/>
        <v>0</v>
      </c>
      <c r="E212" s="21">
        <f t="shared" si="57"/>
        <v>0</v>
      </c>
      <c r="F212" s="21">
        <f t="shared" si="57"/>
        <v>0</v>
      </c>
      <c r="G212" s="21">
        <f t="shared" si="57"/>
        <v>0</v>
      </c>
      <c r="H212" s="21">
        <f t="shared" si="57"/>
        <v>0</v>
      </c>
      <c r="I212" s="21">
        <f t="shared" si="57"/>
        <v>0</v>
      </c>
      <c r="J212" s="21">
        <f t="shared" si="57"/>
        <v>0</v>
      </c>
      <c r="K212" s="19"/>
      <c r="L212" s="19"/>
      <c r="M212" s="19"/>
      <c r="N212" s="19"/>
      <c r="O212" s="19"/>
      <c r="P212" s="19"/>
      <c r="Q212" s="19"/>
      <c r="R212" s="19"/>
      <c r="S212" s="19"/>
      <c r="T212" s="19"/>
      <c r="U212" s="19"/>
      <c r="V212" s="19"/>
      <c r="W212" s="19"/>
    </row>
    <row r="213" spans="1:23" x14ac:dyDescent="0.35">
      <c r="A213" s="20">
        <f t="shared" si="55"/>
        <v>0</v>
      </c>
      <c r="B213" s="20"/>
      <c r="C213" s="49"/>
      <c r="D213" s="21">
        <f t="shared" si="57"/>
        <v>0</v>
      </c>
      <c r="E213" s="21">
        <f t="shared" si="57"/>
        <v>0</v>
      </c>
      <c r="F213" s="21">
        <f t="shared" si="57"/>
        <v>0</v>
      </c>
      <c r="G213" s="21">
        <f t="shared" si="57"/>
        <v>0</v>
      </c>
      <c r="H213" s="21">
        <f t="shared" si="57"/>
        <v>0</v>
      </c>
      <c r="I213" s="21">
        <f t="shared" si="57"/>
        <v>0</v>
      </c>
      <c r="J213" s="21">
        <f t="shared" si="57"/>
        <v>0</v>
      </c>
      <c r="K213" s="19"/>
      <c r="L213" s="19"/>
      <c r="M213" s="19"/>
      <c r="N213" s="19"/>
      <c r="O213" s="19"/>
      <c r="P213" s="19"/>
      <c r="Q213" s="19"/>
      <c r="R213" s="19"/>
      <c r="S213" s="19"/>
      <c r="T213" s="19"/>
      <c r="U213" s="19"/>
      <c r="V213" s="19"/>
      <c r="W213" s="19"/>
    </row>
    <row r="214" spans="1:23" x14ac:dyDescent="0.35">
      <c r="A214" s="20" t="str">
        <f t="shared" si="55"/>
        <v>Summer</v>
      </c>
      <c r="B214" s="20"/>
      <c r="C214" s="49"/>
      <c r="D214" s="21">
        <f t="shared" si="57"/>
        <v>0</v>
      </c>
      <c r="E214" s="21">
        <f t="shared" si="57"/>
        <v>0</v>
      </c>
      <c r="F214" s="21">
        <f t="shared" si="57"/>
        <v>0</v>
      </c>
      <c r="G214" s="21">
        <f t="shared" si="57"/>
        <v>0</v>
      </c>
      <c r="H214" s="21">
        <f t="shared" si="57"/>
        <v>0</v>
      </c>
      <c r="I214" s="21">
        <f t="shared" si="57"/>
        <v>0</v>
      </c>
      <c r="J214" s="21">
        <f t="shared" si="57"/>
        <v>0</v>
      </c>
      <c r="K214" s="19"/>
      <c r="L214" s="19"/>
      <c r="M214" s="19"/>
      <c r="N214" s="19"/>
      <c r="O214" s="19"/>
      <c r="P214" s="19"/>
      <c r="Q214" s="19"/>
      <c r="R214" s="19"/>
      <c r="S214" s="19"/>
      <c r="T214" s="19"/>
      <c r="U214" s="19"/>
      <c r="V214" s="19"/>
      <c r="W214" s="19"/>
    </row>
    <row r="215" spans="1:23" x14ac:dyDescent="0.35">
      <c r="A215" s="20" t="str">
        <f t="shared" si="55"/>
        <v>Soybean</v>
      </c>
      <c r="B215" s="20"/>
      <c r="C215" s="49"/>
      <c r="D215" s="21">
        <f t="shared" si="57"/>
        <v>0</v>
      </c>
      <c r="E215" s="21">
        <f t="shared" si="57"/>
        <v>0</v>
      </c>
      <c r="F215" s="21">
        <f t="shared" si="57"/>
        <v>0</v>
      </c>
      <c r="G215" s="21">
        <f t="shared" si="57"/>
        <v>0</v>
      </c>
      <c r="H215" s="21">
        <f t="shared" si="57"/>
        <v>0</v>
      </c>
      <c r="I215" s="21">
        <f t="shared" si="57"/>
        <v>0</v>
      </c>
      <c r="J215" s="21">
        <f t="shared" si="57"/>
        <v>0</v>
      </c>
      <c r="K215" s="19"/>
      <c r="L215" s="19"/>
      <c r="M215" s="19"/>
      <c r="N215" s="19"/>
      <c r="O215" s="19"/>
      <c r="P215" s="19"/>
      <c r="Q215" s="19"/>
      <c r="R215" s="19"/>
      <c r="S215" s="19"/>
      <c r="T215" s="19"/>
      <c r="U215" s="19"/>
      <c r="V215" s="19"/>
      <c r="W215" s="19"/>
    </row>
    <row r="216" spans="1:23" x14ac:dyDescent="0.35">
      <c r="A216" s="20">
        <f t="shared" si="55"/>
        <v>0</v>
      </c>
      <c r="B216" s="20"/>
      <c r="C216" s="49"/>
      <c r="D216" s="21">
        <f t="shared" si="57"/>
        <v>0</v>
      </c>
      <c r="E216" s="21">
        <f t="shared" si="57"/>
        <v>0</v>
      </c>
      <c r="F216" s="21">
        <f t="shared" si="57"/>
        <v>0</v>
      </c>
      <c r="G216" s="21">
        <f t="shared" si="57"/>
        <v>0</v>
      </c>
      <c r="H216" s="21">
        <f t="shared" si="57"/>
        <v>0</v>
      </c>
      <c r="I216" s="21">
        <f t="shared" si="57"/>
        <v>0</v>
      </c>
      <c r="J216" s="21">
        <f t="shared" si="57"/>
        <v>0</v>
      </c>
      <c r="K216" s="19"/>
      <c r="L216" s="19"/>
      <c r="M216" s="19"/>
      <c r="N216" s="19"/>
      <c r="O216" s="19"/>
      <c r="P216" s="19"/>
      <c r="Q216" s="19"/>
      <c r="R216" s="19"/>
      <c r="S216" s="19"/>
      <c r="T216" s="19"/>
      <c r="U216" s="19"/>
      <c r="V216" s="19"/>
      <c r="W216" s="19"/>
    </row>
    <row r="217" spans="1:23" x14ac:dyDescent="0.35">
      <c r="A217" s="20">
        <f t="shared" si="55"/>
        <v>0</v>
      </c>
      <c r="B217" s="20"/>
      <c r="C217" s="49"/>
      <c r="D217" s="21">
        <f t="shared" ref="D217:J219" si="58">C82*$C217*D$124</f>
        <v>0</v>
      </c>
      <c r="E217" s="21">
        <f t="shared" si="58"/>
        <v>0</v>
      </c>
      <c r="F217" s="21">
        <f t="shared" si="58"/>
        <v>0</v>
      </c>
      <c r="G217" s="21">
        <f t="shared" si="58"/>
        <v>0</v>
      </c>
      <c r="H217" s="21">
        <f t="shared" si="58"/>
        <v>0</v>
      </c>
      <c r="I217" s="21">
        <f t="shared" si="58"/>
        <v>0</v>
      </c>
      <c r="J217" s="21">
        <f t="shared" si="58"/>
        <v>0</v>
      </c>
      <c r="K217" s="19"/>
      <c r="L217" s="19"/>
      <c r="M217" s="19"/>
      <c r="N217" s="19"/>
      <c r="O217" s="19"/>
      <c r="P217" s="19"/>
      <c r="Q217" s="19"/>
      <c r="R217" s="19"/>
      <c r="S217" s="19"/>
      <c r="T217" s="19"/>
      <c r="U217" s="19"/>
      <c r="V217" s="19"/>
      <c r="W217" s="19"/>
    </row>
    <row r="218" spans="1:23" x14ac:dyDescent="0.35">
      <c r="A218" s="20">
        <f t="shared" si="55"/>
        <v>0</v>
      </c>
      <c r="B218" s="20"/>
      <c r="C218" s="49"/>
      <c r="D218" s="21">
        <f t="shared" si="58"/>
        <v>0</v>
      </c>
      <c r="E218" s="21">
        <f t="shared" si="58"/>
        <v>0</v>
      </c>
      <c r="F218" s="21">
        <f t="shared" si="58"/>
        <v>0</v>
      </c>
      <c r="G218" s="21">
        <f t="shared" si="58"/>
        <v>0</v>
      </c>
      <c r="H218" s="21">
        <f t="shared" si="58"/>
        <v>0</v>
      </c>
      <c r="I218" s="21">
        <f t="shared" si="58"/>
        <v>0</v>
      </c>
      <c r="J218" s="21">
        <f t="shared" si="58"/>
        <v>0</v>
      </c>
      <c r="K218" s="19"/>
      <c r="L218" s="19"/>
      <c r="M218" s="19"/>
      <c r="N218" s="19"/>
      <c r="O218" s="19"/>
      <c r="P218" s="19"/>
      <c r="Q218" s="19"/>
      <c r="R218" s="19"/>
      <c r="S218" s="19"/>
      <c r="T218" s="19"/>
      <c r="U218" s="19"/>
      <c r="V218" s="19"/>
      <c r="W218" s="19"/>
    </row>
    <row r="219" spans="1:23" x14ac:dyDescent="0.35">
      <c r="A219" s="20">
        <f t="shared" si="55"/>
        <v>0</v>
      </c>
      <c r="B219" s="20"/>
      <c r="C219" s="49"/>
      <c r="D219" s="21">
        <f t="shared" si="58"/>
        <v>0</v>
      </c>
      <c r="E219" s="21">
        <f t="shared" si="58"/>
        <v>0</v>
      </c>
      <c r="F219" s="21">
        <f t="shared" si="58"/>
        <v>0</v>
      </c>
      <c r="G219" s="21">
        <f t="shared" si="58"/>
        <v>0</v>
      </c>
      <c r="H219" s="21">
        <f t="shared" si="58"/>
        <v>0</v>
      </c>
      <c r="I219" s="21">
        <f t="shared" si="58"/>
        <v>0</v>
      </c>
      <c r="J219" s="21">
        <f t="shared" si="58"/>
        <v>0</v>
      </c>
      <c r="K219" s="19"/>
      <c r="L219" s="19"/>
      <c r="M219" s="19"/>
      <c r="N219" s="19"/>
      <c r="O219" s="19"/>
      <c r="P219" s="19"/>
      <c r="Q219" s="19"/>
      <c r="R219" s="19"/>
      <c r="S219" s="19"/>
      <c r="T219" s="19"/>
      <c r="U219" s="19"/>
      <c r="V219" s="19"/>
      <c r="W219" s="19"/>
    </row>
    <row r="220" spans="1:23" x14ac:dyDescent="0.35">
      <c r="A220" s="20" t="str">
        <f t="shared" si="55"/>
        <v>Fruit  &amp; Vegetables Crop Production Details</v>
      </c>
      <c r="B220" s="20"/>
      <c r="C220" s="21"/>
      <c r="D220" s="21"/>
      <c r="E220" s="21"/>
      <c r="F220" s="21"/>
      <c r="G220" s="21"/>
      <c r="H220" s="21"/>
      <c r="I220" s="21"/>
      <c r="J220" s="21"/>
      <c r="K220" s="19"/>
      <c r="L220" s="19"/>
      <c r="M220" s="19"/>
      <c r="N220" s="19"/>
      <c r="O220" s="19"/>
      <c r="P220" s="19"/>
      <c r="Q220" s="19"/>
      <c r="R220" s="19"/>
      <c r="S220" s="19"/>
      <c r="T220" s="19"/>
      <c r="U220" s="19"/>
      <c r="V220" s="19"/>
      <c r="W220" s="19"/>
    </row>
    <row r="221" spans="1:23" x14ac:dyDescent="0.35">
      <c r="A221" s="20" t="str">
        <f t="shared" si="55"/>
        <v>Onion</v>
      </c>
      <c r="B221" s="20"/>
      <c r="C221" s="49"/>
      <c r="D221" s="21">
        <f t="shared" ref="D221:J230" si="59">C86*$C221*D$124</f>
        <v>0</v>
      </c>
      <c r="E221" s="21">
        <f t="shared" si="59"/>
        <v>0</v>
      </c>
      <c r="F221" s="21">
        <f t="shared" si="59"/>
        <v>0</v>
      </c>
      <c r="G221" s="21">
        <f t="shared" si="59"/>
        <v>0</v>
      </c>
      <c r="H221" s="21">
        <f t="shared" si="59"/>
        <v>0</v>
      </c>
      <c r="I221" s="21">
        <f t="shared" si="59"/>
        <v>0</v>
      </c>
      <c r="J221" s="21">
        <f t="shared" si="59"/>
        <v>0</v>
      </c>
      <c r="K221" s="19"/>
      <c r="L221" s="19"/>
      <c r="M221" s="19"/>
      <c r="N221" s="19"/>
      <c r="O221" s="19"/>
      <c r="P221" s="19"/>
      <c r="Q221" s="19"/>
      <c r="R221" s="19"/>
      <c r="S221" s="19"/>
      <c r="T221" s="19"/>
      <c r="U221" s="19"/>
      <c r="V221" s="19"/>
      <c r="W221" s="19"/>
    </row>
    <row r="222" spans="1:23" x14ac:dyDescent="0.35">
      <c r="A222" s="20" t="str">
        <f t="shared" si="55"/>
        <v>Tomato</v>
      </c>
      <c r="B222" s="20"/>
      <c r="C222" s="49"/>
      <c r="D222" s="21">
        <f t="shared" si="59"/>
        <v>0</v>
      </c>
      <c r="E222" s="21">
        <f t="shared" si="59"/>
        <v>0</v>
      </c>
      <c r="F222" s="21">
        <f t="shared" si="59"/>
        <v>0</v>
      </c>
      <c r="G222" s="21">
        <f t="shared" si="59"/>
        <v>0</v>
      </c>
      <c r="H222" s="21">
        <f t="shared" si="59"/>
        <v>0</v>
      </c>
      <c r="I222" s="21">
        <f t="shared" si="59"/>
        <v>0</v>
      </c>
      <c r="J222" s="21">
        <f t="shared" si="59"/>
        <v>0</v>
      </c>
      <c r="K222" s="19"/>
      <c r="L222" s="19"/>
      <c r="M222" s="19"/>
      <c r="N222" s="19"/>
      <c r="O222" s="19"/>
      <c r="P222" s="19"/>
      <c r="Q222" s="19"/>
      <c r="R222" s="19"/>
      <c r="S222" s="19"/>
      <c r="T222" s="19"/>
      <c r="U222" s="19"/>
      <c r="V222" s="19"/>
      <c r="W222" s="19"/>
    </row>
    <row r="223" spans="1:23" x14ac:dyDescent="0.35">
      <c r="A223" s="20" t="str">
        <f t="shared" si="55"/>
        <v>Okra</v>
      </c>
      <c r="B223" s="20"/>
      <c r="C223" s="49"/>
      <c r="D223" s="21">
        <f t="shared" si="59"/>
        <v>0</v>
      </c>
      <c r="E223" s="21">
        <f t="shared" si="59"/>
        <v>0</v>
      </c>
      <c r="F223" s="21">
        <f t="shared" si="59"/>
        <v>0</v>
      </c>
      <c r="G223" s="21">
        <f t="shared" si="59"/>
        <v>0</v>
      </c>
      <c r="H223" s="21">
        <f t="shared" si="59"/>
        <v>0</v>
      </c>
      <c r="I223" s="21">
        <f t="shared" si="59"/>
        <v>0</v>
      </c>
      <c r="J223" s="21">
        <f t="shared" si="59"/>
        <v>0</v>
      </c>
      <c r="K223" s="19"/>
      <c r="L223" s="19"/>
      <c r="M223" s="19"/>
      <c r="N223" s="19"/>
      <c r="O223" s="19"/>
      <c r="P223" s="19"/>
      <c r="Q223" s="19"/>
      <c r="R223" s="19"/>
      <c r="S223" s="19"/>
      <c r="T223" s="19"/>
      <c r="U223" s="19"/>
      <c r="V223" s="19"/>
      <c r="W223" s="19"/>
    </row>
    <row r="224" spans="1:23" x14ac:dyDescent="0.35">
      <c r="A224" s="20" t="str">
        <f t="shared" si="55"/>
        <v>Chilli</v>
      </c>
      <c r="B224" s="20"/>
      <c r="C224" s="49"/>
      <c r="D224" s="21">
        <f t="shared" si="59"/>
        <v>0</v>
      </c>
      <c r="E224" s="21">
        <f t="shared" si="59"/>
        <v>0</v>
      </c>
      <c r="F224" s="21">
        <f t="shared" si="59"/>
        <v>0</v>
      </c>
      <c r="G224" s="21">
        <f t="shared" si="59"/>
        <v>0</v>
      </c>
      <c r="H224" s="21">
        <f t="shared" si="59"/>
        <v>0</v>
      </c>
      <c r="I224" s="21">
        <f t="shared" si="59"/>
        <v>0</v>
      </c>
      <c r="J224" s="21">
        <f t="shared" si="59"/>
        <v>0</v>
      </c>
      <c r="K224" s="19"/>
      <c r="L224" s="19"/>
      <c r="M224" s="19"/>
      <c r="N224" s="19"/>
      <c r="O224" s="19"/>
      <c r="P224" s="19"/>
      <c r="Q224" s="19"/>
      <c r="R224" s="19"/>
      <c r="S224" s="19"/>
      <c r="T224" s="19"/>
      <c r="U224" s="19"/>
      <c r="V224" s="19"/>
      <c r="W224" s="19"/>
    </row>
    <row r="225" spans="1:23" x14ac:dyDescent="0.35">
      <c r="A225" s="20" t="str">
        <f t="shared" si="55"/>
        <v>Potato</v>
      </c>
      <c r="B225" s="20"/>
      <c r="C225" s="49"/>
      <c r="D225" s="21">
        <f t="shared" si="59"/>
        <v>0</v>
      </c>
      <c r="E225" s="21">
        <f t="shared" si="59"/>
        <v>0</v>
      </c>
      <c r="F225" s="21">
        <f t="shared" si="59"/>
        <v>0</v>
      </c>
      <c r="G225" s="21">
        <f t="shared" si="59"/>
        <v>0</v>
      </c>
      <c r="H225" s="21">
        <f t="shared" si="59"/>
        <v>0</v>
      </c>
      <c r="I225" s="21">
        <f t="shared" si="59"/>
        <v>0</v>
      </c>
      <c r="J225" s="21">
        <f t="shared" si="59"/>
        <v>0</v>
      </c>
      <c r="K225" s="19"/>
      <c r="L225" s="19"/>
      <c r="M225" s="19"/>
      <c r="N225" s="19"/>
      <c r="O225" s="19"/>
      <c r="P225" s="19"/>
      <c r="Q225" s="19"/>
      <c r="R225" s="19"/>
      <c r="S225" s="19"/>
      <c r="T225" s="19"/>
      <c r="U225" s="19"/>
      <c r="V225" s="19"/>
      <c r="W225" s="19"/>
    </row>
    <row r="226" spans="1:23" x14ac:dyDescent="0.35">
      <c r="A226" s="20">
        <f t="shared" si="55"/>
        <v>0</v>
      </c>
      <c r="B226" s="20"/>
      <c r="C226" s="49"/>
      <c r="D226" s="21">
        <f t="shared" si="59"/>
        <v>0</v>
      </c>
      <c r="E226" s="21">
        <f t="shared" si="59"/>
        <v>0</v>
      </c>
      <c r="F226" s="21">
        <f t="shared" si="59"/>
        <v>0</v>
      </c>
      <c r="G226" s="21">
        <f t="shared" si="59"/>
        <v>0</v>
      </c>
      <c r="H226" s="21">
        <f t="shared" si="59"/>
        <v>0</v>
      </c>
      <c r="I226" s="21">
        <f t="shared" si="59"/>
        <v>0</v>
      </c>
      <c r="J226" s="21">
        <f t="shared" si="59"/>
        <v>0</v>
      </c>
      <c r="K226" s="19"/>
      <c r="L226" s="19"/>
      <c r="M226" s="19"/>
      <c r="N226" s="19"/>
      <c r="O226" s="19"/>
      <c r="P226" s="19"/>
      <c r="Q226" s="19"/>
      <c r="R226" s="19"/>
      <c r="S226" s="19"/>
      <c r="T226" s="19"/>
      <c r="U226" s="19"/>
      <c r="V226" s="19"/>
      <c r="W226" s="19"/>
    </row>
    <row r="227" spans="1:23" x14ac:dyDescent="0.35">
      <c r="A227" s="20">
        <f t="shared" si="55"/>
        <v>0</v>
      </c>
      <c r="B227" s="20"/>
      <c r="C227" s="49"/>
      <c r="D227" s="21">
        <f t="shared" si="59"/>
        <v>0</v>
      </c>
      <c r="E227" s="21">
        <f t="shared" si="59"/>
        <v>0</v>
      </c>
      <c r="F227" s="21">
        <f t="shared" si="59"/>
        <v>0</v>
      </c>
      <c r="G227" s="21">
        <f t="shared" si="59"/>
        <v>0</v>
      </c>
      <c r="H227" s="21">
        <f t="shared" si="59"/>
        <v>0</v>
      </c>
      <c r="I227" s="21">
        <f t="shared" si="59"/>
        <v>0</v>
      </c>
      <c r="J227" s="21">
        <f t="shared" si="59"/>
        <v>0</v>
      </c>
      <c r="K227" s="19"/>
      <c r="L227" s="19"/>
      <c r="M227" s="19"/>
      <c r="N227" s="19"/>
      <c r="O227" s="19"/>
      <c r="P227" s="19"/>
      <c r="Q227" s="19"/>
      <c r="R227" s="19"/>
      <c r="S227" s="19"/>
      <c r="T227" s="19"/>
      <c r="U227" s="19"/>
      <c r="V227" s="19"/>
      <c r="W227" s="19"/>
    </row>
    <row r="228" spans="1:23" x14ac:dyDescent="0.35">
      <c r="A228" s="20">
        <f t="shared" si="55"/>
        <v>0</v>
      </c>
      <c r="B228" s="20"/>
      <c r="C228" s="49"/>
      <c r="D228" s="21">
        <f t="shared" si="59"/>
        <v>0</v>
      </c>
      <c r="E228" s="21">
        <f t="shared" si="59"/>
        <v>0</v>
      </c>
      <c r="F228" s="21">
        <f t="shared" si="59"/>
        <v>0</v>
      </c>
      <c r="G228" s="21">
        <f t="shared" si="59"/>
        <v>0</v>
      </c>
      <c r="H228" s="21">
        <f t="shared" si="59"/>
        <v>0</v>
      </c>
      <c r="I228" s="21">
        <f t="shared" si="59"/>
        <v>0</v>
      </c>
      <c r="J228" s="21">
        <f t="shared" si="59"/>
        <v>0</v>
      </c>
      <c r="K228" s="19"/>
      <c r="L228" s="19"/>
      <c r="M228" s="19"/>
      <c r="N228" s="19"/>
      <c r="O228" s="19"/>
      <c r="P228" s="19"/>
      <c r="Q228" s="19"/>
      <c r="R228" s="19"/>
      <c r="S228" s="19"/>
      <c r="T228" s="19"/>
      <c r="U228" s="19"/>
      <c r="V228" s="19"/>
      <c r="W228" s="19"/>
    </row>
    <row r="229" spans="1:23" x14ac:dyDescent="0.35">
      <c r="A229" s="20">
        <f t="shared" si="55"/>
        <v>0</v>
      </c>
      <c r="B229" s="20"/>
      <c r="C229" s="49"/>
      <c r="D229" s="21">
        <f t="shared" si="59"/>
        <v>0</v>
      </c>
      <c r="E229" s="21">
        <f t="shared" si="59"/>
        <v>0</v>
      </c>
      <c r="F229" s="21">
        <f t="shared" si="59"/>
        <v>0</v>
      </c>
      <c r="G229" s="21">
        <f t="shared" si="59"/>
        <v>0</v>
      </c>
      <c r="H229" s="21">
        <f t="shared" si="59"/>
        <v>0</v>
      </c>
      <c r="I229" s="21">
        <f t="shared" si="59"/>
        <v>0</v>
      </c>
      <c r="J229" s="21">
        <f t="shared" si="59"/>
        <v>0</v>
      </c>
      <c r="K229" s="19"/>
      <c r="L229" s="19"/>
      <c r="M229" s="19"/>
      <c r="N229" s="19"/>
      <c r="O229" s="19"/>
      <c r="P229" s="19"/>
      <c r="Q229" s="19"/>
      <c r="R229" s="19"/>
      <c r="S229" s="19"/>
      <c r="T229" s="19"/>
      <c r="U229" s="19"/>
      <c r="V229" s="19"/>
      <c r="W229" s="19"/>
    </row>
    <row r="230" spans="1:23" x14ac:dyDescent="0.35">
      <c r="A230" s="20" t="str">
        <f t="shared" si="55"/>
        <v>Onion</v>
      </c>
      <c r="B230" s="20"/>
      <c r="C230" s="49"/>
      <c r="D230" s="21">
        <f t="shared" si="59"/>
        <v>0</v>
      </c>
      <c r="E230" s="21">
        <f t="shared" si="59"/>
        <v>0</v>
      </c>
      <c r="F230" s="21">
        <f t="shared" si="59"/>
        <v>0</v>
      </c>
      <c r="G230" s="21">
        <f t="shared" si="59"/>
        <v>0</v>
      </c>
      <c r="H230" s="21">
        <f t="shared" si="59"/>
        <v>0</v>
      </c>
      <c r="I230" s="21">
        <f t="shared" si="59"/>
        <v>0</v>
      </c>
      <c r="J230" s="21">
        <f t="shared" si="59"/>
        <v>0</v>
      </c>
      <c r="K230" s="19"/>
      <c r="L230" s="19"/>
      <c r="M230" s="19"/>
      <c r="N230" s="19"/>
      <c r="O230" s="19"/>
      <c r="P230" s="19"/>
      <c r="Q230" s="19"/>
      <c r="R230" s="19"/>
      <c r="S230" s="19"/>
      <c r="T230" s="19"/>
      <c r="U230" s="19"/>
      <c r="V230" s="19"/>
      <c r="W230" s="19"/>
    </row>
    <row r="231" spans="1:23" x14ac:dyDescent="0.35">
      <c r="A231" s="20" t="str">
        <f t="shared" si="55"/>
        <v>Tomato</v>
      </c>
      <c r="B231" s="20"/>
      <c r="C231" s="49"/>
      <c r="D231" s="21">
        <f t="shared" ref="D231:J238" si="60">C96*$C231*D$124</f>
        <v>0</v>
      </c>
      <c r="E231" s="21">
        <f t="shared" si="60"/>
        <v>0</v>
      </c>
      <c r="F231" s="21">
        <f t="shared" si="60"/>
        <v>0</v>
      </c>
      <c r="G231" s="21">
        <f t="shared" si="60"/>
        <v>0</v>
      </c>
      <c r="H231" s="21">
        <f t="shared" si="60"/>
        <v>0</v>
      </c>
      <c r="I231" s="21">
        <f t="shared" si="60"/>
        <v>0</v>
      </c>
      <c r="J231" s="21">
        <f t="shared" si="60"/>
        <v>0</v>
      </c>
      <c r="K231" s="19"/>
      <c r="L231" s="19"/>
      <c r="M231" s="19"/>
      <c r="N231" s="19"/>
      <c r="O231" s="19"/>
      <c r="P231" s="19"/>
      <c r="Q231" s="19"/>
      <c r="R231" s="19"/>
      <c r="S231" s="19"/>
      <c r="T231" s="19"/>
      <c r="U231" s="19"/>
      <c r="V231" s="19"/>
      <c r="W231" s="19"/>
    </row>
    <row r="232" spans="1:23" x14ac:dyDescent="0.35">
      <c r="A232" s="20" t="str">
        <f t="shared" si="55"/>
        <v>Okra</v>
      </c>
      <c r="B232" s="20"/>
      <c r="C232" s="49"/>
      <c r="D232" s="21">
        <f t="shared" si="60"/>
        <v>0</v>
      </c>
      <c r="E232" s="21">
        <f t="shared" si="60"/>
        <v>0</v>
      </c>
      <c r="F232" s="21">
        <f t="shared" si="60"/>
        <v>0</v>
      </c>
      <c r="G232" s="21">
        <f t="shared" si="60"/>
        <v>0</v>
      </c>
      <c r="H232" s="21">
        <f t="shared" si="60"/>
        <v>0</v>
      </c>
      <c r="I232" s="21">
        <f t="shared" si="60"/>
        <v>0</v>
      </c>
      <c r="J232" s="21">
        <f t="shared" si="60"/>
        <v>0</v>
      </c>
      <c r="K232" s="19"/>
      <c r="L232" s="19"/>
      <c r="M232" s="19"/>
      <c r="N232" s="19"/>
      <c r="O232" s="19"/>
      <c r="P232" s="19"/>
      <c r="Q232" s="19"/>
      <c r="R232" s="19"/>
      <c r="S232" s="19"/>
      <c r="T232" s="19"/>
      <c r="U232" s="19"/>
      <c r="V232" s="19"/>
      <c r="W232" s="19"/>
    </row>
    <row r="233" spans="1:23" x14ac:dyDescent="0.35">
      <c r="A233" s="20" t="str">
        <f t="shared" si="55"/>
        <v>Chilli</v>
      </c>
      <c r="B233" s="20"/>
      <c r="C233" s="49"/>
      <c r="D233" s="21">
        <f t="shared" si="60"/>
        <v>0</v>
      </c>
      <c r="E233" s="21">
        <f t="shared" si="60"/>
        <v>0</v>
      </c>
      <c r="F233" s="21">
        <f t="shared" si="60"/>
        <v>0</v>
      </c>
      <c r="G233" s="21">
        <f t="shared" si="60"/>
        <v>0</v>
      </c>
      <c r="H233" s="21">
        <f t="shared" si="60"/>
        <v>0</v>
      </c>
      <c r="I233" s="21">
        <f t="shared" si="60"/>
        <v>0</v>
      </c>
      <c r="J233" s="21">
        <f t="shared" si="60"/>
        <v>0</v>
      </c>
      <c r="K233" s="19"/>
      <c r="L233" s="19"/>
      <c r="M233" s="19"/>
      <c r="N233" s="19"/>
      <c r="O233" s="19"/>
      <c r="P233" s="19"/>
      <c r="Q233" s="19"/>
      <c r="R233" s="19"/>
      <c r="S233" s="19"/>
      <c r="T233" s="19"/>
      <c r="U233" s="19"/>
      <c r="V233" s="19"/>
      <c r="W233" s="19"/>
    </row>
    <row r="234" spans="1:23" x14ac:dyDescent="0.35">
      <c r="A234" s="20" t="str">
        <f t="shared" si="55"/>
        <v>Brinjal</v>
      </c>
      <c r="B234" s="20"/>
      <c r="C234" s="49"/>
      <c r="D234" s="21">
        <f t="shared" si="60"/>
        <v>0</v>
      </c>
      <c r="E234" s="21">
        <f t="shared" si="60"/>
        <v>0</v>
      </c>
      <c r="F234" s="21">
        <f t="shared" si="60"/>
        <v>0</v>
      </c>
      <c r="G234" s="21">
        <f t="shared" si="60"/>
        <v>0</v>
      </c>
      <c r="H234" s="21">
        <f t="shared" si="60"/>
        <v>0</v>
      </c>
      <c r="I234" s="21">
        <f t="shared" si="60"/>
        <v>0</v>
      </c>
      <c r="J234" s="21">
        <f t="shared" si="60"/>
        <v>0</v>
      </c>
      <c r="K234" s="19"/>
      <c r="L234" s="19"/>
      <c r="M234" s="19"/>
      <c r="N234" s="19"/>
      <c r="O234" s="19"/>
      <c r="P234" s="19"/>
      <c r="Q234" s="19"/>
      <c r="R234" s="19"/>
      <c r="S234" s="19"/>
      <c r="T234" s="19"/>
      <c r="U234" s="19"/>
      <c r="V234" s="19"/>
      <c r="W234" s="19"/>
    </row>
    <row r="235" spans="1:23" x14ac:dyDescent="0.35">
      <c r="A235" s="20">
        <f t="shared" si="55"/>
        <v>0</v>
      </c>
      <c r="B235" s="20"/>
      <c r="C235" s="49"/>
      <c r="D235" s="21">
        <f t="shared" si="60"/>
        <v>0</v>
      </c>
      <c r="E235" s="21">
        <f t="shared" si="60"/>
        <v>0</v>
      </c>
      <c r="F235" s="21">
        <f t="shared" si="60"/>
        <v>0</v>
      </c>
      <c r="G235" s="21">
        <f t="shared" si="60"/>
        <v>0</v>
      </c>
      <c r="H235" s="21">
        <f t="shared" si="60"/>
        <v>0</v>
      </c>
      <c r="I235" s="21">
        <f t="shared" si="60"/>
        <v>0</v>
      </c>
      <c r="J235" s="21">
        <f t="shared" si="60"/>
        <v>0</v>
      </c>
      <c r="K235" s="19"/>
      <c r="L235" s="19"/>
      <c r="M235" s="19"/>
      <c r="N235" s="19"/>
      <c r="O235" s="19"/>
      <c r="P235" s="19"/>
      <c r="Q235" s="19"/>
      <c r="R235" s="19"/>
      <c r="S235" s="19"/>
      <c r="T235" s="19"/>
      <c r="U235" s="19"/>
      <c r="V235" s="19"/>
      <c r="W235" s="19"/>
    </row>
    <row r="236" spans="1:23" x14ac:dyDescent="0.35">
      <c r="A236" s="20">
        <f t="shared" si="55"/>
        <v>0</v>
      </c>
      <c r="B236" s="20"/>
      <c r="C236" s="49"/>
      <c r="D236" s="21">
        <f t="shared" si="60"/>
        <v>0</v>
      </c>
      <c r="E236" s="21">
        <f t="shared" si="60"/>
        <v>0</v>
      </c>
      <c r="F236" s="21">
        <f t="shared" si="60"/>
        <v>0</v>
      </c>
      <c r="G236" s="21">
        <f t="shared" si="60"/>
        <v>0</v>
      </c>
      <c r="H236" s="21">
        <f t="shared" si="60"/>
        <v>0</v>
      </c>
      <c r="I236" s="21">
        <f t="shared" si="60"/>
        <v>0</v>
      </c>
      <c r="J236" s="21">
        <f t="shared" si="60"/>
        <v>0</v>
      </c>
      <c r="K236" s="19"/>
      <c r="L236" s="19"/>
      <c r="M236" s="19"/>
      <c r="N236" s="19"/>
      <c r="O236" s="19"/>
      <c r="P236" s="19"/>
      <c r="Q236" s="19"/>
      <c r="R236" s="19"/>
      <c r="S236" s="19"/>
      <c r="T236" s="19"/>
      <c r="U236" s="19"/>
      <c r="V236" s="19"/>
      <c r="W236" s="19"/>
    </row>
    <row r="237" spans="1:23" x14ac:dyDescent="0.35">
      <c r="A237" s="20">
        <f t="shared" si="55"/>
        <v>0</v>
      </c>
      <c r="B237" s="20"/>
      <c r="C237" s="49"/>
      <c r="D237" s="21">
        <f t="shared" si="60"/>
        <v>0</v>
      </c>
      <c r="E237" s="21">
        <f t="shared" si="60"/>
        <v>0</v>
      </c>
      <c r="F237" s="21">
        <f t="shared" si="60"/>
        <v>0</v>
      </c>
      <c r="G237" s="21">
        <f t="shared" si="60"/>
        <v>0</v>
      </c>
      <c r="H237" s="21">
        <f t="shared" si="60"/>
        <v>0</v>
      </c>
      <c r="I237" s="21">
        <f t="shared" si="60"/>
        <v>0</v>
      </c>
      <c r="J237" s="21">
        <f t="shared" si="60"/>
        <v>0</v>
      </c>
      <c r="K237" s="19"/>
      <c r="L237" s="19"/>
      <c r="M237" s="19"/>
      <c r="N237" s="19"/>
      <c r="O237" s="19"/>
      <c r="P237" s="19"/>
      <c r="Q237" s="19"/>
      <c r="R237" s="19"/>
      <c r="S237" s="19"/>
      <c r="T237" s="19"/>
      <c r="U237" s="19"/>
      <c r="V237" s="19"/>
      <c r="W237" s="19"/>
    </row>
    <row r="238" spans="1:23" x14ac:dyDescent="0.35">
      <c r="A238" s="20">
        <f t="shared" si="55"/>
        <v>0</v>
      </c>
      <c r="B238" s="20"/>
      <c r="C238" s="49"/>
      <c r="D238" s="21">
        <f t="shared" si="60"/>
        <v>0</v>
      </c>
      <c r="E238" s="21">
        <f t="shared" si="60"/>
        <v>0</v>
      </c>
      <c r="F238" s="21">
        <f t="shared" si="60"/>
        <v>0</v>
      </c>
      <c r="G238" s="21">
        <f t="shared" si="60"/>
        <v>0</v>
      </c>
      <c r="H238" s="21">
        <f t="shared" si="60"/>
        <v>0</v>
      </c>
      <c r="I238" s="21">
        <f t="shared" si="60"/>
        <v>0</v>
      </c>
      <c r="J238" s="21">
        <f t="shared" si="60"/>
        <v>0</v>
      </c>
      <c r="K238" s="19"/>
      <c r="L238" s="19"/>
      <c r="M238" s="19"/>
      <c r="N238" s="19"/>
      <c r="O238" s="19"/>
      <c r="P238" s="19"/>
      <c r="Q238" s="19"/>
      <c r="R238" s="19"/>
      <c r="S238" s="19"/>
      <c r="T238" s="19"/>
      <c r="U238" s="19"/>
      <c r="V238" s="19"/>
      <c r="W238" s="19"/>
    </row>
    <row r="239" spans="1:23" x14ac:dyDescent="0.35">
      <c r="A239" s="20" t="str">
        <f>A175</f>
        <v>Pomegranate</v>
      </c>
      <c r="B239" s="20"/>
      <c r="C239" s="49"/>
      <c r="D239" s="21">
        <f t="shared" ref="D239:J243" si="61">C107*$C239*D$124</f>
        <v>0</v>
      </c>
      <c r="E239" s="21">
        <f t="shared" si="61"/>
        <v>0</v>
      </c>
      <c r="F239" s="21">
        <f t="shared" si="61"/>
        <v>0</v>
      </c>
      <c r="G239" s="21">
        <f t="shared" si="61"/>
        <v>0</v>
      </c>
      <c r="H239" s="21">
        <f t="shared" si="61"/>
        <v>0</v>
      </c>
      <c r="I239" s="21">
        <f t="shared" si="61"/>
        <v>0</v>
      </c>
      <c r="J239" s="21">
        <f t="shared" si="61"/>
        <v>0</v>
      </c>
      <c r="K239" s="19"/>
      <c r="L239" s="19"/>
      <c r="M239" s="19"/>
      <c r="N239" s="19"/>
      <c r="O239" s="19"/>
      <c r="P239" s="19"/>
      <c r="Q239" s="19"/>
      <c r="R239" s="19"/>
      <c r="S239" s="19"/>
      <c r="T239" s="19"/>
      <c r="U239" s="19"/>
      <c r="V239" s="19"/>
      <c r="W239" s="19"/>
    </row>
    <row r="240" spans="1:23" x14ac:dyDescent="0.35">
      <c r="A240" s="20" t="str">
        <f>A176</f>
        <v>Custard Apple</v>
      </c>
      <c r="B240" s="20"/>
      <c r="C240" s="49"/>
      <c r="D240" s="21">
        <f t="shared" si="61"/>
        <v>0</v>
      </c>
      <c r="E240" s="21">
        <f t="shared" si="61"/>
        <v>0</v>
      </c>
      <c r="F240" s="21">
        <f t="shared" si="61"/>
        <v>0</v>
      </c>
      <c r="G240" s="21">
        <f t="shared" si="61"/>
        <v>0</v>
      </c>
      <c r="H240" s="21">
        <f t="shared" si="61"/>
        <v>0</v>
      </c>
      <c r="I240" s="21">
        <f t="shared" si="61"/>
        <v>0</v>
      </c>
      <c r="J240" s="21">
        <f t="shared" si="61"/>
        <v>0</v>
      </c>
      <c r="K240" s="19"/>
      <c r="L240" s="19"/>
      <c r="M240" s="19"/>
      <c r="N240" s="19"/>
      <c r="O240" s="19"/>
      <c r="P240" s="19"/>
      <c r="Q240" s="19"/>
      <c r="R240" s="19"/>
      <c r="S240" s="19"/>
      <c r="T240" s="19"/>
      <c r="U240" s="19"/>
      <c r="V240" s="19"/>
      <c r="W240" s="19"/>
    </row>
    <row r="241" spans="1:23" x14ac:dyDescent="0.35">
      <c r="A241" s="20" t="str">
        <f>A177</f>
        <v>Guava</v>
      </c>
      <c r="B241" s="20"/>
      <c r="C241" s="49"/>
      <c r="D241" s="21">
        <f t="shared" si="61"/>
        <v>0</v>
      </c>
      <c r="E241" s="21">
        <f t="shared" si="61"/>
        <v>0</v>
      </c>
      <c r="F241" s="21">
        <f t="shared" si="61"/>
        <v>0</v>
      </c>
      <c r="G241" s="21">
        <f t="shared" si="61"/>
        <v>0</v>
      </c>
      <c r="H241" s="21">
        <f t="shared" si="61"/>
        <v>0</v>
      </c>
      <c r="I241" s="21">
        <f t="shared" si="61"/>
        <v>0</v>
      </c>
      <c r="J241" s="21">
        <f t="shared" si="61"/>
        <v>0</v>
      </c>
      <c r="K241" s="19"/>
      <c r="L241" s="19"/>
      <c r="M241" s="19"/>
      <c r="N241" s="19"/>
      <c r="O241" s="19"/>
      <c r="P241" s="19"/>
      <c r="Q241" s="19"/>
      <c r="R241" s="19"/>
      <c r="S241" s="19"/>
      <c r="T241" s="19"/>
      <c r="U241" s="19"/>
      <c r="V241" s="19"/>
      <c r="W241" s="19"/>
    </row>
    <row r="242" spans="1:23" x14ac:dyDescent="0.35">
      <c r="A242" s="20" t="str">
        <f>A178</f>
        <v>Citrus</v>
      </c>
      <c r="B242" s="20"/>
      <c r="C242" s="49"/>
      <c r="D242" s="21">
        <f t="shared" si="61"/>
        <v>0</v>
      </c>
      <c r="E242" s="21">
        <f t="shared" si="61"/>
        <v>0</v>
      </c>
      <c r="F242" s="21">
        <f t="shared" si="61"/>
        <v>0</v>
      </c>
      <c r="G242" s="21">
        <f t="shared" si="61"/>
        <v>0</v>
      </c>
      <c r="H242" s="21">
        <f t="shared" si="61"/>
        <v>0</v>
      </c>
      <c r="I242" s="21">
        <f t="shared" si="61"/>
        <v>0</v>
      </c>
      <c r="J242" s="21">
        <f t="shared" si="61"/>
        <v>0</v>
      </c>
      <c r="K242" s="19"/>
      <c r="L242" s="19"/>
      <c r="M242" s="19"/>
      <c r="N242" s="19"/>
      <c r="O242" s="19"/>
      <c r="P242" s="19"/>
      <c r="Q242" s="19"/>
      <c r="R242" s="19"/>
      <c r="S242" s="19"/>
      <c r="T242" s="19"/>
      <c r="U242" s="19"/>
      <c r="V242" s="19"/>
      <c r="W242" s="19"/>
    </row>
    <row r="243" spans="1:23" x14ac:dyDescent="0.35">
      <c r="A243" s="20">
        <f>A179</f>
        <v>0</v>
      </c>
      <c r="B243" s="20"/>
      <c r="C243" s="49"/>
      <c r="D243" s="21">
        <f t="shared" si="61"/>
        <v>0</v>
      </c>
      <c r="E243" s="21">
        <f t="shared" si="61"/>
        <v>0</v>
      </c>
      <c r="F243" s="21">
        <f t="shared" si="61"/>
        <v>0</v>
      </c>
      <c r="G243" s="21">
        <f t="shared" si="61"/>
        <v>0</v>
      </c>
      <c r="H243" s="21">
        <f t="shared" si="61"/>
        <v>0</v>
      </c>
      <c r="I243" s="21">
        <f t="shared" si="61"/>
        <v>0</v>
      </c>
      <c r="J243" s="21">
        <f t="shared" si="61"/>
        <v>0</v>
      </c>
      <c r="K243" s="19"/>
      <c r="L243" s="19"/>
      <c r="M243" s="19"/>
      <c r="N243" s="19"/>
      <c r="O243" s="19"/>
      <c r="P243" s="19"/>
      <c r="Q243" s="19"/>
      <c r="R243" s="19"/>
      <c r="S243" s="19"/>
      <c r="T243" s="19"/>
      <c r="U243" s="19"/>
      <c r="V243" s="19"/>
      <c r="W243" s="19"/>
    </row>
    <row r="244" spans="1:23" x14ac:dyDescent="0.35">
      <c r="A244" s="20" t="str">
        <f>A181</f>
        <v>Fertilizer(Rate/KG)</v>
      </c>
      <c r="B244" s="20"/>
      <c r="C244" s="21"/>
      <c r="D244" s="21"/>
      <c r="E244" s="21"/>
      <c r="F244" s="21"/>
      <c r="G244" s="21"/>
      <c r="H244" s="21"/>
      <c r="I244" s="21"/>
      <c r="J244" s="21"/>
      <c r="K244" s="19"/>
      <c r="L244" s="19"/>
      <c r="M244" s="19"/>
      <c r="N244" s="19"/>
      <c r="O244" s="19"/>
      <c r="P244" s="19"/>
      <c r="Q244" s="19"/>
      <c r="R244" s="19"/>
      <c r="S244" s="19"/>
      <c r="T244" s="19"/>
      <c r="U244" s="19"/>
      <c r="V244" s="19"/>
      <c r="W244" s="19"/>
    </row>
    <row r="245" spans="1:23" x14ac:dyDescent="0.35">
      <c r="A245" s="20" t="str">
        <f>A182</f>
        <v>SSP</v>
      </c>
      <c r="B245" s="20"/>
      <c r="C245" s="49">
        <v>6</v>
      </c>
      <c r="D245" s="21">
        <f t="shared" ref="D245:J245" si="62">C114*$C$245*D124</f>
        <v>0</v>
      </c>
      <c r="E245" s="21">
        <f t="shared" si="62"/>
        <v>0</v>
      </c>
      <c r="F245" s="21">
        <f t="shared" si="62"/>
        <v>0</v>
      </c>
      <c r="G245" s="21">
        <f t="shared" si="62"/>
        <v>0</v>
      </c>
      <c r="H245" s="21">
        <f t="shared" si="62"/>
        <v>0</v>
      </c>
      <c r="I245" s="21">
        <f t="shared" si="62"/>
        <v>0</v>
      </c>
      <c r="J245" s="21">
        <f t="shared" si="62"/>
        <v>0</v>
      </c>
      <c r="K245" s="19"/>
      <c r="L245" s="19"/>
      <c r="M245" s="19"/>
      <c r="N245" s="19"/>
      <c r="O245" s="19"/>
      <c r="P245" s="19"/>
      <c r="Q245" s="19"/>
      <c r="R245" s="19"/>
      <c r="S245" s="19"/>
      <c r="T245" s="19"/>
      <c r="U245" s="19"/>
      <c r="V245" s="19"/>
      <c r="W245" s="19"/>
    </row>
    <row r="246" spans="1:23" x14ac:dyDescent="0.35">
      <c r="A246" s="20" t="str">
        <f>A183</f>
        <v>Urea</v>
      </c>
      <c r="B246" s="20"/>
      <c r="C246" s="49">
        <v>5</v>
      </c>
      <c r="D246" s="21">
        <f t="shared" ref="D246:J246" si="63">C115*$C$246*D124</f>
        <v>0</v>
      </c>
      <c r="E246" s="21">
        <f t="shared" si="63"/>
        <v>0</v>
      </c>
      <c r="F246" s="21">
        <f t="shared" si="63"/>
        <v>0</v>
      </c>
      <c r="G246" s="21">
        <f t="shared" si="63"/>
        <v>0</v>
      </c>
      <c r="H246" s="21">
        <f t="shared" si="63"/>
        <v>0</v>
      </c>
      <c r="I246" s="21">
        <f t="shared" si="63"/>
        <v>0</v>
      </c>
      <c r="J246" s="21">
        <f t="shared" si="63"/>
        <v>0</v>
      </c>
      <c r="K246" s="19"/>
      <c r="L246" s="19"/>
      <c r="M246" s="19"/>
      <c r="N246" s="19"/>
      <c r="O246" s="19"/>
      <c r="P246" s="19"/>
      <c r="Q246" s="19"/>
      <c r="R246" s="19"/>
      <c r="S246" s="19"/>
      <c r="T246" s="19"/>
      <c r="U246" s="19"/>
      <c r="V246" s="19"/>
      <c r="W246" s="19"/>
    </row>
    <row r="247" spans="1:23" x14ac:dyDescent="0.35">
      <c r="A247" s="20" t="str">
        <f>A184</f>
        <v>DAP</v>
      </c>
      <c r="B247" s="20"/>
      <c r="C247" s="49">
        <v>27</v>
      </c>
      <c r="D247" s="21">
        <f t="shared" ref="D247:J247" si="64">C116*$C$247*D124</f>
        <v>0</v>
      </c>
      <c r="E247" s="21">
        <f t="shared" si="64"/>
        <v>0</v>
      </c>
      <c r="F247" s="21">
        <f t="shared" si="64"/>
        <v>0</v>
      </c>
      <c r="G247" s="21">
        <f t="shared" si="64"/>
        <v>0</v>
      </c>
      <c r="H247" s="21">
        <f t="shared" si="64"/>
        <v>0</v>
      </c>
      <c r="I247" s="21">
        <f t="shared" si="64"/>
        <v>0</v>
      </c>
      <c r="J247" s="21">
        <f t="shared" si="64"/>
        <v>0</v>
      </c>
      <c r="K247" s="19"/>
      <c r="L247" s="19"/>
      <c r="M247" s="19"/>
      <c r="N247" s="19"/>
      <c r="O247" s="19"/>
      <c r="P247" s="19"/>
      <c r="Q247" s="19"/>
      <c r="R247" s="19"/>
      <c r="S247" s="19"/>
      <c r="T247" s="19"/>
      <c r="U247" s="19"/>
      <c r="V247" s="19"/>
      <c r="W247" s="19"/>
    </row>
    <row r="248" spans="1:23" x14ac:dyDescent="0.35">
      <c r="A248" s="20"/>
      <c r="B248" s="20"/>
      <c r="C248" s="21"/>
      <c r="D248" s="21"/>
      <c r="E248" s="21"/>
      <c r="F248" s="21"/>
      <c r="G248" s="21"/>
      <c r="H248" s="21"/>
      <c r="I248" s="21"/>
      <c r="J248" s="21"/>
      <c r="K248" s="19"/>
      <c r="L248" s="19"/>
      <c r="M248" s="19"/>
      <c r="N248" s="19"/>
      <c r="O248" s="19"/>
      <c r="P248" s="19"/>
      <c r="Q248" s="19"/>
      <c r="R248" s="19"/>
      <c r="S248" s="19"/>
      <c r="T248" s="19"/>
      <c r="U248" s="19"/>
      <c r="V248" s="19"/>
      <c r="W248" s="19"/>
    </row>
    <row r="249" spans="1:23" x14ac:dyDescent="0.35">
      <c r="A249" s="20" t="str">
        <f>A186</f>
        <v>Pesticide</v>
      </c>
      <c r="B249" s="20"/>
      <c r="C249" s="21"/>
      <c r="D249" s="21"/>
      <c r="E249" s="21"/>
      <c r="F249" s="21"/>
      <c r="G249" s="21"/>
      <c r="H249" s="21"/>
      <c r="I249" s="21"/>
      <c r="J249" s="21"/>
      <c r="K249" s="19"/>
      <c r="L249" s="19"/>
      <c r="M249" s="19"/>
      <c r="N249" s="19"/>
      <c r="O249" s="19"/>
      <c r="P249" s="19"/>
      <c r="Q249" s="19"/>
      <c r="R249" s="19"/>
      <c r="S249" s="19"/>
      <c r="T249" s="19"/>
      <c r="U249" s="19"/>
      <c r="V249" s="19"/>
      <c r="W249" s="19"/>
    </row>
    <row r="250" spans="1:23" x14ac:dyDescent="0.35">
      <c r="A250" s="20" t="str">
        <f>A187</f>
        <v>Dupont Coragen</v>
      </c>
      <c r="B250" s="20"/>
      <c r="C250" s="49">
        <v>2800</v>
      </c>
      <c r="D250" s="21">
        <f t="shared" ref="D250:J250" si="65">C118*$C$250*D124</f>
        <v>0</v>
      </c>
      <c r="E250" s="21">
        <f t="shared" si="65"/>
        <v>0</v>
      </c>
      <c r="F250" s="21">
        <f t="shared" si="65"/>
        <v>0</v>
      </c>
      <c r="G250" s="21">
        <f t="shared" si="65"/>
        <v>0</v>
      </c>
      <c r="H250" s="21">
        <f t="shared" si="65"/>
        <v>0</v>
      </c>
      <c r="I250" s="21">
        <f t="shared" si="65"/>
        <v>0</v>
      </c>
      <c r="J250" s="21">
        <f t="shared" si="65"/>
        <v>0</v>
      </c>
      <c r="K250" s="19"/>
      <c r="L250" s="19"/>
      <c r="M250" s="19"/>
      <c r="N250" s="19"/>
      <c r="O250" s="19"/>
      <c r="P250" s="19"/>
      <c r="Q250" s="19"/>
      <c r="R250" s="19"/>
      <c r="S250" s="19"/>
      <c r="T250" s="19"/>
      <c r="U250" s="19"/>
      <c r="V250" s="19"/>
      <c r="W250" s="19"/>
    </row>
    <row r="251" spans="1:23" x14ac:dyDescent="0.35">
      <c r="A251" s="20" t="str">
        <f>A188</f>
        <v>Confidor Boyer</v>
      </c>
      <c r="B251" s="20"/>
      <c r="C251" s="49">
        <v>2000</v>
      </c>
      <c r="D251" s="21">
        <f t="shared" ref="D251:J251" si="66">C119*$C$251*D124</f>
        <v>0</v>
      </c>
      <c r="E251" s="21">
        <f t="shared" si="66"/>
        <v>0</v>
      </c>
      <c r="F251" s="21">
        <f t="shared" si="66"/>
        <v>0</v>
      </c>
      <c r="G251" s="21">
        <f t="shared" si="66"/>
        <v>0</v>
      </c>
      <c r="H251" s="21">
        <f t="shared" si="66"/>
        <v>0</v>
      </c>
      <c r="I251" s="21">
        <f t="shared" si="66"/>
        <v>0</v>
      </c>
      <c r="J251" s="21">
        <f t="shared" si="66"/>
        <v>0</v>
      </c>
      <c r="K251" s="19"/>
      <c r="L251" s="19"/>
      <c r="M251" s="19"/>
      <c r="N251" s="19"/>
      <c r="O251" s="19"/>
      <c r="P251" s="19"/>
      <c r="Q251" s="19"/>
      <c r="R251" s="19"/>
      <c r="S251" s="19"/>
      <c r="T251" s="19"/>
      <c r="U251" s="19"/>
      <c r="V251" s="19"/>
      <c r="W251" s="19"/>
    </row>
    <row r="252" spans="1:23" x14ac:dyDescent="0.35">
      <c r="A252" s="20"/>
      <c r="B252" s="20"/>
      <c r="C252" s="21"/>
      <c r="D252" s="21"/>
      <c r="E252" s="21"/>
      <c r="F252" s="21"/>
      <c r="G252" s="21"/>
      <c r="H252" s="21"/>
      <c r="I252" s="21"/>
      <c r="J252" s="21"/>
      <c r="K252" s="19"/>
      <c r="L252" s="19"/>
      <c r="M252" s="19"/>
      <c r="N252" s="19"/>
      <c r="O252" s="19"/>
      <c r="P252" s="19"/>
      <c r="Q252" s="19"/>
      <c r="R252" s="19"/>
      <c r="S252" s="19"/>
      <c r="T252" s="19"/>
      <c r="U252" s="19"/>
      <c r="V252" s="19"/>
      <c r="W252" s="19"/>
    </row>
    <row r="253" spans="1:23" x14ac:dyDescent="0.35">
      <c r="A253" s="20" t="s">
        <v>289</v>
      </c>
      <c r="B253" s="20"/>
      <c r="C253" s="49">
        <v>10</v>
      </c>
      <c r="D253" s="21">
        <f t="shared" ref="D253:J253" si="67">(SUM(C63:C119)/50)*$C$253*D124</f>
        <v>0</v>
      </c>
      <c r="E253" s="21">
        <f t="shared" si="67"/>
        <v>0</v>
      </c>
      <c r="F253" s="21">
        <f t="shared" si="67"/>
        <v>0</v>
      </c>
      <c r="G253" s="21">
        <f t="shared" si="67"/>
        <v>0</v>
      </c>
      <c r="H253" s="21">
        <f t="shared" si="67"/>
        <v>0</v>
      </c>
      <c r="I253" s="21">
        <f t="shared" si="67"/>
        <v>0</v>
      </c>
      <c r="J253" s="21">
        <f t="shared" si="67"/>
        <v>0</v>
      </c>
      <c r="K253" s="19"/>
      <c r="L253" s="19"/>
      <c r="M253" s="19"/>
      <c r="N253" s="19"/>
      <c r="O253" s="19"/>
      <c r="P253" s="19"/>
      <c r="Q253" s="19"/>
      <c r="R253" s="19"/>
      <c r="S253" s="19"/>
      <c r="T253" s="19"/>
      <c r="U253" s="19"/>
      <c r="V253" s="19"/>
      <c r="W253" s="19"/>
    </row>
    <row r="254" spans="1:23" x14ac:dyDescent="0.35">
      <c r="A254" s="20" t="s">
        <v>168</v>
      </c>
      <c r="B254" s="20"/>
      <c r="C254" s="49">
        <v>100</v>
      </c>
      <c r="D254" s="21">
        <f t="shared" ref="D254:J254" si="68">(SUM(C63:C119)/50)*$C$254*D124</f>
        <v>0</v>
      </c>
      <c r="E254" s="21">
        <f t="shared" si="68"/>
        <v>0</v>
      </c>
      <c r="F254" s="21">
        <f t="shared" si="68"/>
        <v>0</v>
      </c>
      <c r="G254" s="21">
        <f t="shared" si="68"/>
        <v>0</v>
      </c>
      <c r="H254" s="21">
        <f t="shared" si="68"/>
        <v>0</v>
      </c>
      <c r="I254" s="21">
        <f t="shared" si="68"/>
        <v>0</v>
      </c>
      <c r="J254" s="21">
        <f t="shared" si="68"/>
        <v>0</v>
      </c>
      <c r="K254" s="19"/>
      <c r="L254" s="19"/>
      <c r="M254" s="19"/>
      <c r="N254" s="19"/>
      <c r="O254" s="19"/>
      <c r="P254" s="19"/>
      <c r="Q254" s="19"/>
      <c r="R254" s="19"/>
      <c r="S254" s="19"/>
      <c r="T254" s="19"/>
      <c r="U254" s="19"/>
      <c r="V254" s="19"/>
      <c r="W254" s="19"/>
    </row>
    <row r="255" spans="1:23" x14ac:dyDescent="0.35">
      <c r="A255" s="20"/>
      <c r="B255" s="20"/>
      <c r="C255" s="49"/>
      <c r="D255" s="44"/>
      <c r="E255" s="21"/>
      <c r="F255" s="21"/>
      <c r="G255" s="21"/>
      <c r="H255" s="21"/>
      <c r="I255" s="21"/>
      <c r="J255" s="21"/>
      <c r="K255" s="19"/>
      <c r="L255" s="19"/>
      <c r="M255" s="19"/>
      <c r="N255" s="19"/>
      <c r="O255" s="19"/>
      <c r="P255" s="19"/>
      <c r="Q255" s="19"/>
      <c r="R255" s="19"/>
      <c r="S255" s="19"/>
      <c r="T255" s="19"/>
      <c r="U255" s="19"/>
      <c r="V255" s="19"/>
      <c r="W255" s="19"/>
    </row>
    <row r="256" spans="1:23" x14ac:dyDescent="0.35">
      <c r="A256" s="20"/>
      <c r="B256" s="20"/>
      <c r="C256" s="49"/>
      <c r="D256" s="44"/>
      <c r="E256" s="21"/>
      <c r="F256" s="21"/>
      <c r="G256" s="21"/>
      <c r="H256" s="21"/>
      <c r="I256" s="21"/>
      <c r="J256" s="21"/>
      <c r="K256" s="19"/>
      <c r="L256" s="19"/>
      <c r="M256" s="19"/>
      <c r="N256" s="19"/>
      <c r="O256" s="19"/>
      <c r="P256" s="19"/>
      <c r="Q256" s="19"/>
      <c r="R256" s="19"/>
      <c r="S256" s="19"/>
      <c r="T256" s="19"/>
      <c r="U256" s="19"/>
      <c r="V256" s="19"/>
      <c r="W256" s="19"/>
    </row>
    <row r="257" spans="1:23" x14ac:dyDescent="0.35">
      <c r="A257" s="20"/>
      <c r="B257" s="20"/>
      <c r="C257" s="49"/>
      <c r="D257" s="44"/>
      <c r="E257" s="21"/>
      <c r="F257" s="21"/>
      <c r="G257" s="21"/>
      <c r="H257" s="21"/>
      <c r="I257" s="21"/>
      <c r="J257" s="21"/>
      <c r="K257" s="19"/>
      <c r="L257" s="19"/>
      <c r="M257" s="19"/>
      <c r="N257" s="19"/>
      <c r="O257" s="19"/>
      <c r="P257" s="19"/>
      <c r="Q257" s="19"/>
      <c r="R257" s="19"/>
      <c r="S257" s="19"/>
      <c r="T257" s="19"/>
      <c r="U257" s="19"/>
      <c r="V257" s="19"/>
      <c r="W257" s="19"/>
    </row>
    <row r="258" spans="1:23" x14ac:dyDescent="0.35">
      <c r="A258" s="20"/>
      <c r="B258" s="20"/>
      <c r="C258" s="49"/>
      <c r="D258" s="44"/>
      <c r="E258" s="21"/>
      <c r="F258" s="21"/>
      <c r="G258" s="21"/>
      <c r="H258" s="21"/>
      <c r="I258" s="21"/>
      <c r="J258" s="21"/>
      <c r="K258" s="19"/>
      <c r="L258" s="19"/>
      <c r="M258" s="19"/>
      <c r="N258" s="19"/>
      <c r="O258" s="19"/>
      <c r="P258" s="19"/>
      <c r="Q258" s="19"/>
      <c r="R258" s="19"/>
      <c r="S258" s="19"/>
      <c r="T258" s="19"/>
      <c r="U258" s="19"/>
      <c r="V258" s="19"/>
      <c r="W258" s="19"/>
    </row>
    <row r="259" spans="1:23" x14ac:dyDescent="0.35">
      <c r="A259" s="20" t="s">
        <v>338</v>
      </c>
      <c r="B259" s="20"/>
      <c r="C259" s="21"/>
      <c r="D259" s="44"/>
      <c r="E259" s="21">
        <f>'5.Closing Stock &amp; W Capital'!F5</f>
        <v>0</v>
      </c>
      <c r="F259" s="21">
        <f>'5.Closing Stock &amp; W Capital'!G5</f>
        <v>0</v>
      </c>
      <c r="G259" s="21">
        <f>'5.Closing Stock &amp; W Capital'!H5</f>
        <v>0</v>
      </c>
      <c r="H259" s="21">
        <f>'5.Closing Stock &amp; W Capital'!I5</f>
        <v>0</v>
      </c>
      <c r="I259" s="21">
        <f>'5.Closing Stock &amp; W Capital'!J5</f>
        <v>0</v>
      </c>
      <c r="J259" s="21">
        <f>'5.Closing Stock &amp; W Capital'!K5</f>
        <v>0</v>
      </c>
      <c r="K259" s="19"/>
      <c r="L259" s="19"/>
      <c r="M259" s="19"/>
      <c r="N259" s="19"/>
      <c r="O259" s="19"/>
      <c r="P259" s="19"/>
      <c r="Q259" s="19"/>
      <c r="R259" s="19"/>
      <c r="S259" s="19"/>
      <c r="T259" s="19"/>
      <c r="U259" s="19"/>
      <c r="V259" s="19"/>
      <c r="W259" s="19"/>
    </row>
    <row r="260" spans="1:23" x14ac:dyDescent="0.35">
      <c r="A260" s="23" t="s">
        <v>339</v>
      </c>
      <c r="B260" s="20"/>
      <c r="C260" s="20"/>
      <c r="D260" s="44">
        <f>'5.Closing Stock &amp; W Capital'!E14</f>
        <v>0</v>
      </c>
      <c r="E260" s="21">
        <f>'5.Closing Stock &amp; W Capital'!F14</f>
        <v>0</v>
      </c>
      <c r="F260" s="21">
        <f>'5.Closing Stock &amp; W Capital'!G14</f>
        <v>0</v>
      </c>
      <c r="G260" s="21">
        <f>'5.Closing Stock &amp; W Capital'!H14</f>
        <v>0</v>
      </c>
      <c r="H260" s="21">
        <f>'5.Closing Stock &amp; W Capital'!I14</f>
        <v>0</v>
      </c>
      <c r="I260" s="21">
        <f>'5.Closing Stock &amp; W Capital'!J14</f>
        <v>0</v>
      </c>
      <c r="J260" s="21">
        <f>'5.Closing Stock &amp; W Capital'!K14</f>
        <v>0</v>
      </c>
      <c r="K260" s="19"/>
      <c r="L260" s="19"/>
      <c r="M260" s="19"/>
      <c r="N260" s="19"/>
      <c r="O260" s="19"/>
      <c r="P260" s="19"/>
      <c r="Q260" s="19"/>
      <c r="R260" s="19"/>
      <c r="S260" s="19"/>
      <c r="T260" s="19"/>
      <c r="U260" s="19"/>
      <c r="V260" s="19"/>
      <c r="W260" s="19"/>
    </row>
    <row r="261" spans="1:23" x14ac:dyDescent="0.35">
      <c r="A261" s="20"/>
      <c r="B261" s="20"/>
      <c r="C261" s="20"/>
      <c r="D261" s="19"/>
      <c r="E261" s="19"/>
      <c r="F261" s="19"/>
      <c r="G261" s="19"/>
      <c r="H261" s="19"/>
      <c r="I261" s="19"/>
      <c r="J261" s="19"/>
      <c r="K261" s="19"/>
      <c r="L261" s="19"/>
      <c r="M261" s="19"/>
      <c r="N261" s="19"/>
      <c r="O261" s="19"/>
      <c r="P261" s="19"/>
      <c r="Q261" s="19"/>
      <c r="R261" s="19"/>
      <c r="S261" s="19"/>
      <c r="T261" s="19"/>
      <c r="U261" s="19"/>
      <c r="V261" s="19"/>
      <c r="W261" s="19"/>
    </row>
    <row r="262" spans="1:23" x14ac:dyDescent="0.35">
      <c r="A262" s="22" t="s">
        <v>317</v>
      </c>
      <c r="B262" s="22"/>
      <c r="C262" s="27"/>
      <c r="D262" s="27">
        <f>SUM(D197:D258)+D259-D260</f>
        <v>0</v>
      </c>
      <c r="E262" s="27">
        <f t="shared" ref="E262:J262" si="69">SUM(E197:E258)+E259-E260</f>
        <v>0</v>
      </c>
      <c r="F262" s="27">
        <f t="shared" si="69"/>
        <v>0</v>
      </c>
      <c r="G262" s="27">
        <f t="shared" si="69"/>
        <v>0</v>
      </c>
      <c r="H262" s="27">
        <f t="shared" si="69"/>
        <v>0</v>
      </c>
      <c r="I262" s="27">
        <f t="shared" si="69"/>
        <v>0</v>
      </c>
      <c r="J262" s="27">
        <f t="shared" si="69"/>
        <v>0</v>
      </c>
      <c r="K262" s="19"/>
      <c r="L262" s="19"/>
      <c r="M262" s="19"/>
      <c r="N262" s="19"/>
      <c r="O262" s="19"/>
      <c r="P262" s="19"/>
      <c r="Q262" s="19"/>
      <c r="R262" s="19"/>
      <c r="S262" s="19"/>
      <c r="T262" s="19"/>
      <c r="U262" s="19"/>
      <c r="V262" s="19"/>
      <c r="W262" s="19"/>
    </row>
    <row r="263" spans="1:23" x14ac:dyDescent="0.35">
      <c r="A263" s="20"/>
      <c r="B263" s="20"/>
      <c r="C263" s="21"/>
      <c r="D263" s="21"/>
      <c r="E263" s="21"/>
      <c r="F263" s="21"/>
      <c r="G263" s="21"/>
      <c r="H263" s="21"/>
      <c r="I263" s="21"/>
      <c r="J263" s="21"/>
      <c r="K263" s="19"/>
      <c r="L263" s="19"/>
      <c r="M263" s="19"/>
      <c r="N263" s="19"/>
      <c r="O263" s="19"/>
      <c r="P263" s="19"/>
      <c r="Q263" s="19"/>
      <c r="R263" s="19"/>
      <c r="S263" s="19"/>
      <c r="T263" s="19"/>
      <c r="U263" s="19"/>
      <c r="V263" s="19"/>
      <c r="W263" s="19"/>
    </row>
    <row r="264" spans="1:23" x14ac:dyDescent="0.35">
      <c r="A264" s="22" t="s">
        <v>308</v>
      </c>
      <c r="B264" s="22"/>
      <c r="C264" s="21"/>
      <c r="D264" s="21"/>
      <c r="E264" s="21"/>
      <c r="F264" s="21"/>
      <c r="G264" s="21"/>
      <c r="H264" s="21"/>
      <c r="I264" s="21"/>
      <c r="J264" s="21"/>
      <c r="K264" s="19"/>
      <c r="L264" s="19"/>
      <c r="M264" s="19"/>
      <c r="N264" s="19"/>
      <c r="O264" s="19"/>
      <c r="P264" s="19"/>
      <c r="Q264" s="19"/>
      <c r="R264" s="19"/>
      <c r="S264" s="19"/>
      <c r="T264" s="19"/>
      <c r="U264" s="19"/>
      <c r="V264" s="19"/>
      <c r="W264" s="19"/>
    </row>
    <row r="265" spans="1:23" x14ac:dyDescent="0.35">
      <c r="A265" s="20" t="s">
        <v>321</v>
      </c>
      <c r="B265" s="20">
        <v>12</v>
      </c>
      <c r="C265" s="49"/>
      <c r="D265" s="21">
        <f t="shared" ref="D265:J265" si="70">$B$265*$C$265*D124</f>
        <v>0</v>
      </c>
      <c r="E265" s="21">
        <f t="shared" si="70"/>
        <v>0</v>
      </c>
      <c r="F265" s="21">
        <f t="shared" si="70"/>
        <v>0</v>
      </c>
      <c r="G265" s="21">
        <f t="shared" si="70"/>
        <v>0</v>
      </c>
      <c r="H265" s="21">
        <f t="shared" si="70"/>
        <v>0</v>
      </c>
      <c r="I265" s="21">
        <f t="shared" si="70"/>
        <v>0</v>
      </c>
      <c r="J265" s="21">
        <f t="shared" si="70"/>
        <v>0</v>
      </c>
      <c r="K265" s="19"/>
      <c r="L265" s="19"/>
      <c r="M265" s="19"/>
      <c r="N265" s="19"/>
      <c r="O265" s="19"/>
      <c r="P265" s="19"/>
      <c r="Q265" s="19"/>
      <c r="R265" s="19"/>
      <c r="S265" s="19"/>
      <c r="T265" s="19"/>
      <c r="U265" s="19"/>
      <c r="V265" s="19"/>
      <c r="W265" s="19"/>
    </row>
    <row r="266" spans="1:23" x14ac:dyDescent="0.35">
      <c r="A266" s="20" t="s">
        <v>322</v>
      </c>
      <c r="B266" s="46">
        <v>1</v>
      </c>
      <c r="C266" s="49"/>
      <c r="D266" s="21">
        <f t="shared" ref="D266:J266" si="71">$B$266*$C$266*12*D124</f>
        <v>0</v>
      </c>
      <c r="E266" s="21">
        <f t="shared" si="71"/>
        <v>0</v>
      </c>
      <c r="F266" s="21">
        <f t="shared" si="71"/>
        <v>0</v>
      </c>
      <c r="G266" s="21">
        <f t="shared" si="71"/>
        <v>0</v>
      </c>
      <c r="H266" s="21">
        <f t="shared" si="71"/>
        <v>0</v>
      </c>
      <c r="I266" s="21">
        <f t="shared" si="71"/>
        <v>0</v>
      </c>
      <c r="J266" s="21">
        <f t="shared" si="71"/>
        <v>0</v>
      </c>
      <c r="K266" s="19"/>
      <c r="L266" s="19"/>
      <c r="M266" s="19"/>
      <c r="N266" s="19"/>
      <c r="O266" s="19"/>
      <c r="P266" s="19"/>
      <c r="Q266" s="19"/>
      <c r="R266" s="19"/>
      <c r="S266" s="19"/>
      <c r="T266" s="19"/>
      <c r="U266" s="19"/>
      <c r="V266" s="19"/>
      <c r="W266" s="19"/>
    </row>
    <row r="267" spans="1:23" x14ac:dyDescent="0.35">
      <c r="A267" s="20" t="s">
        <v>189</v>
      </c>
      <c r="B267" s="46">
        <v>1</v>
      </c>
      <c r="C267" s="49"/>
      <c r="D267" s="21">
        <f t="shared" ref="D267:J267" si="72">$B$267*$C$267*12*D124</f>
        <v>0</v>
      </c>
      <c r="E267" s="21">
        <f t="shared" si="72"/>
        <v>0</v>
      </c>
      <c r="F267" s="21">
        <f t="shared" si="72"/>
        <v>0</v>
      </c>
      <c r="G267" s="21">
        <f t="shared" si="72"/>
        <v>0</v>
      </c>
      <c r="H267" s="21">
        <f t="shared" si="72"/>
        <v>0</v>
      </c>
      <c r="I267" s="21">
        <f t="shared" si="72"/>
        <v>0</v>
      </c>
      <c r="J267" s="21">
        <f t="shared" si="72"/>
        <v>0</v>
      </c>
      <c r="K267" s="19"/>
      <c r="L267" s="19"/>
      <c r="M267" s="19"/>
      <c r="N267" s="19"/>
      <c r="O267" s="19"/>
      <c r="P267" s="19"/>
      <c r="Q267" s="19"/>
      <c r="R267" s="19"/>
      <c r="S267" s="19"/>
      <c r="T267" s="19"/>
      <c r="U267" s="19"/>
      <c r="V267" s="19"/>
      <c r="W267" s="19"/>
    </row>
    <row r="268" spans="1:23" x14ac:dyDescent="0.35">
      <c r="A268" s="20" t="s">
        <v>323</v>
      </c>
      <c r="B268" s="20">
        <v>12</v>
      </c>
      <c r="C268" s="49"/>
      <c r="D268" s="21">
        <f t="shared" ref="D268:J268" si="73">$B$268*$C$268*D124</f>
        <v>0</v>
      </c>
      <c r="E268" s="21">
        <f t="shared" si="73"/>
        <v>0</v>
      </c>
      <c r="F268" s="21">
        <f t="shared" si="73"/>
        <v>0</v>
      </c>
      <c r="G268" s="21">
        <f t="shared" si="73"/>
        <v>0</v>
      </c>
      <c r="H268" s="21">
        <f t="shared" si="73"/>
        <v>0</v>
      </c>
      <c r="I268" s="21">
        <f t="shared" si="73"/>
        <v>0</v>
      </c>
      <c r="J268" s="21">
        <f t="shared" si="73"/>
        <v>0</v>
      </c>
      <c r="K268" s="19"/>
      <c r="L268" s="19"/>
      <c r="M268" s="19"/>
      <c r="N268" s="19"/>
      <c r="O268" s="19"/>
      <c r="P268" s="19"/>
      <c r="Q268" s="19"/>
      <c r="R268" s="19"/>
      <c r="S268" s="19"/>
      <c r="T268" s="19"/>
      <c r="U268" s="19"/>
      <c r="V268" s="19"/>
      <c r="W268" s="19"/>
    </row>
    <row r="269" spans="1:23" x14ac:dyDescent="0.35">
      <c r="A269" s="20"/>
      <c r="B269" s="20"/>
      <c r="C269" s="49"/>
      <c r="D269" s="21"/>
      <c r="E269" s="21"/>
      <c r="F269" s="21"/>
      <c r="G269" s="21"/>
      <c r="H269" s="21"/>
      <c r="I269" s="21"/>
      <c r="J269" s="21"/>
      <c r="K269" s="19"/>
      <c r="L269" s="19"/>
      <c r="M269" s="19"/>
      <c r="N269" s="19"/>
      <c r="O269" s="19"/>
      <c r="P269" s="19"/>
      <c r="Q269" s="19"/>
      <c r="R269" s="19"/>
      <c r="S269" s="19"/>
      <c r="T269" s="19"/>
      <c r="U269" s="19"/>
      <c r="V269" s="19"/>
      <c r="W269" s="19"/>
    </row>
    <row r="270" spans="1:23" x14ac:dyDescent="0.35">
      <c r="A270" s="20"/>
      <c r="B270" s="20"/>
      <c r="C270" s="49"/>
      <c r="D270" s="21"/>
      <c r="E270" s="21"/>
      <c r="F270" s="21"/>
      <c r="G270" s="21"/>
      <c r="H270" s="21"/>
      <c r="I270" s="21"/>
      <c r="J270" s="21"/>
      <c r="K270" s="19"/>
      <c r="L270" s="19"/>
      <c r="M270" s="19"/>
      <c r="N270" s="19"/>
      <c r="O270" s="19"/>
      <c r="P270" s="19"/>
      <c r="Q270" s="19"/>
      <c r="R270" s="19"/>
      <c r="S270" s="19"/>
      <c r="T270" s="19"/>
      <c r="U270" s="19"/>
      <c r="V270" s="19"/>
      <c r="W270" s="19"/>
    </row>
    <row r="271" spans="1:23" x14ac:dyDescent="0.35">
      <c r="A271" s="20"/>
      <c r="B271" s="20"/>
      <c r="C271" s="49"/>
      <c r="D271" s="21"/>
      <c r="E271" s="21"/>
      <c r="F271" s="21"/>
      <c r="G271" s="21"/>
      <c r="H271" s="21"/>
      <c r="I271" s="21"/>
      <c r="J271" s="21"/>
      <c r="K271" s="19"/>
      <c r="L271" s="19"/>
      <c r="M271" s="19"/>
      <c r="N271" s="19"/>
      <c r="O271" s="19"/>
      <c r="P271" s="19"/>
      <c r="Q271" s="19"/>
      <c r="R271" s="19"/>
      <c r="S271" s="19"/>
      <c r="T271" s="19"/>
      <c r="U271" s="19"/>
      <c r="V271" s="19"/>
      <c r="W271" s="19"/>
    </row>
    <row r="272" spans="1:23" x14ac:dyDescent="0.35">
      <c r="A272" s="20"/>
      <c r="B272" s="20"/>
      <c r="C272" s="49"/>
      <c r="D272" s="21"/>
      <c r="E272" s="21"/>
      <c r="F272" s="21"/>
      <c r="G272" s="21"/>
      <c r="H272" s="21"/>
      <c r="I272" s="21"/>
      <c r="J272" s="21"/>
      <c r="K272" s="19"/>
      <c r="L272" s="19"/>
      <c r="M272" s="19"/>
      <c r="N272" s="19"/>
      <c r="O272" s="19"/>
      <c r="P272" s="19"/>
      <c r="Q272" s="19"/>
      <c r="R272" s="19"/>
      <c r="S272" s="19"/>
      <c r="T272" s="19"/>
      <c r="U272" s="19"/>
      <c r="V272" s="19"/>
      <c r="W272" s="19"/>
    </row>
    <row r="273" spans="1:23" x14ac:dyDescent="0.35">
      <c r="A273" s="22" t="s">
        <v>320</v>
      </c>
      <c r="B273" s="22"/>
      <c r="C273" s="27"/>
      <c r="D273" s="27">
        <f>SUM(D265:D272)</f>
        <v>0</v>
      </c>
      <c r="E273" s="27">
        <f t="shared" ref="E273:J273" si="74">SUM(E265:E272)</f>
        <v>0</v>
      </c>
      <c r="F273" s="27">
        <f t="shared" si="74"/>
        <v>0</v>
      </c>
      <c r="G273" s="27">
        <f t="shared" si="74"/>
        <v>0</v>
      </c>
      <c r="H273" s="27">
        <f t="shared" si="74"/>
        <v>0</v>
      </c>
      <c r="I273" s="27">
        <f t="shared" si="74"/>
        <v>0</v>
      </c>
      <c r="J273" s="27">
        <f t="shared" si="74"/>
        <v>0</v>
      </c>
      <c r="K273" s="19"/>
      <c r="L273" s="19"/>
      <c r="M273" s="19"/>
      <c r="N273" s="19"/>
      <c r="O273" s="19"/>
      <c r="P273" s="19"/>
      <c r="Q273" s="19"/>
      <c r="R273" s="19"/>
      <c r="S273" s="19"/>
      <c r="T273" s="19"/>
      <c r="U273" s="19"/>
      <c r="V273" s="19"/>
      <c r="W273" s="19"/>
    </row>
    <row r="274" spans="1:23" x14ac:dyDescent="0.35">
      <c r="A274" s="40" t="s">
        <v>134</v>
      </c>
      <c r="B274" s="40"/>
      <c r="C274" s="45"/>
      <c r="D274" s="27">
        <f t="shared" ref="D274:J274" si="75">D262+D273</f>
        <v>0</v>
      </c>
      <c r="E274" s="27">
        <f t="shared" si="75"/>
        <v>0</v>
      </c>
      <c r="F274" s="27">
        <f t="shared" si="75"/>
        <v>0</v>
      </c>
      <c r="G274" s="27">
        <f t="shared" si="75"/>
        <v>0</v>
      </c>
      <c r="H274" s="27">
        <f t="shared" si="75"/>
        <v>0</v>
      </c>
      <c r="I274" s="27">
        <f t="shared" si="75"/>
        <v>0</v>
      </c>
      <c r="J274" s="27">
        <f t="shared" si="75"/>
        <v>0</v>
      </c>
      <c r="K274" s="19"/>
      <c r="L274" s="19"/>
      <c r="M274" s="19"/>
      <c r="N274" s="19"/>
      <c r="O274" s="19"/>
      <c r="P274" s="19"/>
      <c r="Q274" s="19"/>
      <c r="R274" s="19"/>
      <c r="S274" s="19"/>
      <c r="T274" s="19"/>
      <c r="U274" s="19"/>
      <c r="V274" s="19"/>
      <c r="W274" s="19"/>
    </row>
    <row r="275" spans="1:23" x14ac:dyDescent="0.35">
      <c r="A275" s="20"/>
      <c r="B275" s="20"/>
      <c r="C275" s="21"/>
      <c r="D275" s="21"/>
      <c r="E275" s="21"/>
      <c r="F275" s="21"/>
      <c r="G275" s="21"/>
      <c r="H275" s="21"/>
      <c r="I275" s="21"/>
      <c r="J275" s="21"/>
      <c r="K275" s="19"/>
      <c r="L275" s="19"/>
      <c r="M275" s="19"/>
      <c r="N275" s="19"/>
      <c r="O275" s="19"/>
      <c r="P275" s="19"/>
      <c r="Q275" s="19"/>
      <c r="R275" s="19"/>
      <c r="S275" s="19"/>
      <c r="T275" s="19"/>
      <c r="U275" s="19"/>
      <c r="V275" s="19"/>
      <c r="W275" s="19"/>
    </row>
    <row r="276" spans="1:23" x14ac:dyDescent="0.35">
      <c r="A276" s="40" t="s">
        <v>7</v>
      </c>
      <c r="B276" s="40"/>
      <c r="C276" s="45"/>
      <c r="D276" s="27">
        <f t="shared" ref="D276:J276" si="76">D191-D274</f>
        <v>0</v>
      </c>
      <c r="E276" s="27">
        <f t="shared" si="76"/>
        <v>0</v>
      </c>
      <c r="F276" s="27">
        <f t="shared" si="76"/>
        <v>0</v>
      </c>
      <c r="G276" s="27">
        <f t="shared" si="76"/>
        <v>0</v>
      </c>
      <c r="H276" s="27">
        <f t="shared" si="76"/>
        <v>0</v>
      </c>
      <c r="I276" s="27">
        <f t="shared" si="76"/>
        <v>0</v>
      </c>
      <c r="J276" s="27">
        <f t="shared" si="76"/>
        <v>0</v>
      </c>
      <c r="K276" s="19"/>
      <c r="L276" s="19"/>
      <c r="M276" s="19"/>
      <c r="N276" s="19"/>
      <c r="O276" s="19"/>
      <c r="P276" s="19"/>
      <c r="Q276" s="19"/>
      <c r="R276" s="19"/>
      <c r="S276" s="19"/>
      <c r="T276" s="19"/>
      <c r="U276" s="19"/>
      <c r="V276" s="19"/>
      <c r="W276" s="19"/>
    </row>
    <row r="277" spans="1:23" x14ac:dyDescent="0.35">
      <c r="A277" s="28"/>
      <c r="B277" s="28"/>
      <c r="C277" s="28"/>
      <c r="D277" s="19"/>
      <c r="E277" s="19"/>
      <c r="F277" s="19"/>
      <c r="G277" s="19"/>
      <c r="H277" s="19"/>
      <c r="I277" s="19"/>
      <c r="J277" s="19"/>
      <c r="K277" s="19"/>
      <c r="L277" s="19"/>
      <c r="M277" s="19"/>
      <c r="N277" s="19"/>
      <c r="O277" s="19"/>
      <c r="P277" s="19"/>
      <c r="Q277" s="19"/>
      <c r="R277" s="19"/>
      <c r="S277" s="19"/>
      <c r="T277" s="19"/>
      <c r="U277" s="19"/>
      <c r="V277" s="19"/>
      <c r="W277" s="19"/>
    </row>
    <row r="278" spans="1:23"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35">
      <c r="A279" s="496" t="s">
        <v>415</v>
      </c>
      <c r="B279" s="496"/>
      <c r="C279" s="496"/>
      <c r="D279" s="496"/>
      <c r="E279" s="496"/>
      <c r="F279" s="496"/>
      <c r="G279" s="496"/>
      <c r="H279" s="496"/>
      <c r="I279" s="496"/>
      <c r="J279" s="496"/>
    </row>
    <row r="281" spans="1:23" x14ac:dyDescent="0.35">
      <c r="A281" t="s">
        <v>531</v>
      </c>
    </row>
    <row r="282" spans="1:23" x14ac:dyDescent="0.35">
      <c r="A282">
        <v>1</v>
      </c>
      <c r="B282" t="s">
        <v>542</v>
      </c>
    </row>
    <row r="283" spans="1:23" x14ac:dyDescent="0.35">
      <c r="A283">
        <v>2</v>
      </c>
      <c r="B283" t="s">
        <v>543</v>
      </c>
    </row>
    <row r="284" spans="1:23" x14ac:dyDescent="0.35">
      <c r="A284">
        <v>3</v>
      </c>
      <c r="B284" s="19" t="s">
        <v>582</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SheetLayoutView="80" workbookViewId="0"/>
  </sheetViews>
  <sheetFormatPr defaultRowHeight="14.5" x14ac:dyDescent="0.3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x14ac:dyDescent="0.35">
      <c r="A3" s="477" t="s">
        <v>577</v>
      </c>
      <c r="B3" s="477"/>
      <c r="C3" s="477"/>
      <c r="D3" s="477"/>
      <c r="E3" s="477"/>
      <c r="F3" s="477"/>
      <c r="G3" s="477"/>
      <c r="H3" s="477"/>
    </row>
    <row r="4" spans="1:8" ht="17.5" x14ac:dyDescent="0.35">
      <c r="A4" s="477" t="s">
        <v>578</v>
      </c>
      <c r="B4" s="477"/>
      <c r="C4" s="477"/>
      <c r="D4" s="477"/>
      <c r="E4" s="477"/>
      <c r="F4" s="477"/>
      <c r="G4" s="477"/>
      <c r="H4" s="477"/>
    </row>
    <row r="5" spans="1:8" x14ac:dyDescent="0.35">
      <c r="A5" s="19" t="s">
        <v>157</v>
      </c>
      <c r="B5" s="48">
        <v>1</v>
      </c>
      <c r="C5" s="19" t="s">
        <v>469</v>
      </c>
      <c r="D5" s="19"/>
      <c r="E5" s="19"/>
      <c r="F5" s="19"/>
      <c r="G5" s="19"/>
      <c r="H5" s="19"/>
    </row>
    <row r="6" spans="1:8" x14ac:dyDescent="0.35">
      <c r="A6" s="19" t="s">
        <v>158</v>
      </c>
      <c r="B6" s="56">
        <v>8</v>
      </c>
      <c r="C6" s="19"/>
      <c r="D6" s="19"/>
      <c r="E6" s="19"/>
      <c r="F6" s="19"/>
      <c r="G6" s="19"/>
      <c r="H6" s="19"/>
    </row>
    <row r="7" spans="1:8" x14ac:dyDescent="0.35">
      <c r="A7" s="19"/>
      <c r="B7" s="56"/>
      <c r="C7" s="19"/>
      <c r="D7" s="19"/>
      <c r="E7" s="19"/>
      <c r="F7" s="19"/>
      <c r="G7" s="19"/>
      <c r="H7" s="19"/>
    </row>
    <row r="8" spans="1:8" x14ac:dyDescent="0.35">
      <c r="A8" s="19"/>
      <c r="B8" s="56"/>
      <c r="C8" s="19"/>
      <c r="D8" s="19"/>
      <c r="E8" s="19"/>
      <c r="F8" s="19"/>
      <c r="G8" s="19"/>
      <c r="H8" s="19"/>
    </row>
    <row r="9" spans="1:8" x14ac:dyDescent="0.35">
      <c r="A9" s="19"/>
      <c r="B9" s="19"/>
      <c r="C9" s="19"/>
      <c r="D9" s="19"/>
      <c r="E9" s="19"/>
      <c r="F9" s="19"/>
      <c r="G9" s="19"/>
      <c r="H9" s="19"/>
    </row>
    <row r="10" spans="1:8" x14ac:dyDescent="0.35">
      <c r="A10" s="19"/>
      <c r="B10" s="19"/>
      <c r="C10" s="19"/>
      <c r="D10" s="19"/>
      <c r="E10" s="19"/>
      <c r="F10" s="19"/>
      <c r="G10" s="19"/>
      <c r="H10" s="19"/>
    </row>
    <row r="11" spans="1:8" x14ac:dyDescent="0.35">
      <c r="A11" s="17" t="s">
        <v>0</v>
      </c>
      <c r="B11" s="18" t="s">
        <v>2</v>
      </c>
      <c r="C11" s="18" t="s">
        <v>3</v>
      </c>
      <c r="D11" s="18" t="s">
        <v>4</v>
      </c>
      <c r="E11" s="18" t="s">
        <v>5</v>
      </c>
      <c r="F11" s="18" t="s">
        <v>6</v>
      </c>
      <c r="G11" s="18" t="s">
        <v>165</v>
      </c>
      <c r="H11" s="18" t="s">
        <v>164</v>
      </c>
    </row>
    <row r="12" spans="1:8" x14ac:dyDescent="0.35">
      <c r="A12" s="20" t="s">
        <v>166</v>
      </c>
      <c r="B12" s="80">
        <f t="shared" ref="B12:H12" si="0">B39/($B$5*$B$6)</f>
        <v>0</v>
      </c>
      <c r="C12" s="80">
        <f t="shared" si="0"/>
        <v>0</v>
      </c>
      <c r="D12" s="80">
        <f t="shared" si="0"/>
        <v>0</v>
      </c>
      <c r="E12" s="80">
        <f t="shared" si="0"/>
        <v>0</v>
      </c>
      <c r="F12" s="80">
        <f t="shared" si="0"/>
        <v>0</v>
      </c>
      <c r="G12" s="80">
        <f t="shared" si="0"/>
        <v>0</v>
      </c>
      <c r="H12" s="80">
        <f t="shared" si="0"/>
        <v>0</v>
      </c>
    </row>
    <row r="13" spans="1:8" x14ac:dyDescent="0.35">
      <c r="A13" s="20" t="str">
        <f>'11.F&amp;V Crop Production details'!A74</f>
        <v>Onion</v>
      </c>
      <c r="B13" s="20">
        <f>'11.F&amp;V Crop Production details'!B74</f>
        <v>0</v>
      </c>
      <c r="C13" s="20">
        <f>'11.F&amp;V Crop Production details'!C74</f>
        <v>0</v>
      </c>
      <c r="D13" s="20">
        <f>'11.F&amp;V Crop Production details'!D74</f>
        <v>0</v>
      </c>
      <c r="E13" s="20">
        <f>'11.F&amp;V Crop Production details'!E74</f>
        <v>0</v>
      </c>
      <c r="F13" s="20">
        <f>'11.F&amp;V Crop Production details'!F74</f>
        <v>0</v>
      </c>
      <c r="G13" s="20">
        <f>'11.F&amp;V Crop Production details'!G74</f>
        <v>0</v>
      </c>
      <c r="H13" s="20">
        <f>'11.F&amp;V Crop Production details'!H74</f>
        <v>0</v>
      </c>
    </row>
    <row r="14" spans="1:8" x14ac:dyDescent="0.35">
      <c r="A14" s="20" t="str">
        <f>'11.F&amp;V Crop Production details'!A75</f>
        <v>Tomato</v>
      </c>
      <c r="B14" s="20">
        <f>'11.F&amp;V Crop Production details'!B75</f>
        <v>0</v>
      </c>
      <c r="C14" s="20">
        <f>'11.F&amp;V Crop Production details'!C75</f>
        <v>0</v>
      </c>
      <c r="D14" s="20">
        <f>'11.F&amp;V Crop Production details'!D75</f>
        <v>0</v>
      </c>
      <c r="E14" s="20">
        <f>'11.F&amp;V Crop Production details'!E75</f>
        <v>0</v>
      </c>
      <c r="F14" s="20">
        <f>'11.F&amp;V Crop Production details'!F75</f>
        <v>0</v>
      </c>
      <c r="G14" s="20">
        <f>'11.F&amp;V Crop Production details'!G75</f>
        <v>0</v>
      </c>
      <c r="H14" s="20">
        <f>'11.F&amp;V Crop Production details'!H75</f>
        <v>0</v>
      </c>
    </row>
    <row r="15" spans="1:8" x14ac:dyDescent="0.35">
      <c r="A15" s="20" t="str">
        <f>'11.F&amp;V Crop Production details'!A76</f>
        <v>Okra</v>
      </c>
      <c r="B15" s="20">
        <f>'11.F&amp;V Crop Production details'!B76</f>
        <v>0</v>
      </c>
      <c r="C15" s="20">
        <f>'11.F&amp;V Crop Production details'!C76</f>
        <v>0</v>
      </c>
      <c r="D15" s="20">
        <f>'11.F&amp;V Crop Production details'!D76</f>
        <v>0</v>
      </c>
      <c r="E15" s="20">
        <f>'11.F&amp;V Crop Production details'!E76</f>
        <v>0</v>
      </c>
      <c r="F15" s="20">
        <f>'11.F&amp;V Crop Production details'!F76</f>
        <v>0</v>
      </c>
      <c r="G15" s="20">
        <f>'11.F&amp;V Crop Production details'!G76</f>
        <v>0</v>
      </c>
      <c r="H15" s="20">
        <f>'11.F&amp;V Crop Production details'!H76</f>
        <v>0</v>
      </c>
    </row>
    <row r="16" spans="1:8" x14ac:dyDescent="0.35">
      <c r="A16" s="20" t="str">
        <f>'11.F&amp;V Crop Production details'!A77</f>
        <v>Chilli</v>
      </c>
      <c r="B16" s="20">
        <f>'11.F&amp;V Crop Production details'!B77</f>
        <v>0</v>
      </c>
      <c r="C16" s="20">
        <f>'11.F&amp;V Crop Production details'!C77</f>
        <v>0</v>
      </c>
      <c r="D16" s="20">
        <f>'11.F&amp;V Crop Production details'!D77</f>
        <v>0</v>
      </c>
      <c r="E16" s="20">
        <f>'11.F&amp;V Crop Production details'!E77</f>
        <v>0</v>
      </c>
      <c r="F16" s="20">
        <f>'11.F&amp;V Crop Production details'!F77</f>
        <v>0</v>
      </c>
      <c r="G16" s="20">
        <f>'11.F&amp;V Crop Production details'!G77</f>
        <v>0</v>
      </c>
      <c r="H16" s="20">
        <f>'11.F&amp;V Crop Production details'!H77</f>
        <v>0</v>
      </c>
    </row>
    <row r="17" spans="1:8" x14ac:dyDescent="0.35">
      <c r="A17" s="20" t="str">
        <f>'11.F&amp;V Crop Production details'!A78</f>
        <v>Potato</v>
      </c>
      <c r="B17" s="20">
        <f>'11.F&amp;V Crop Production details'!B78</f>
        <v>0</v>
      </c>
      <c r="C17" s="20">
        <f>'11.F&amp;V Crop Production details'!C78</f>
        <v>0</v>
      </c>
      <c r="D17" s="20">
        <f>'11.F&amp;V Crop Production details'!D78</f>
        <v>0</v>
      </c>
      <c r="E17" s="20">
        <f>'11.F&amp;V Crop Production details'!E78</f>
        <v>0</v>
      </c>
      <c r="F17" s="20">
        <f>'11.F&amp;V Crop Production details'!F78</f>
        <v>0</v>
      </c>
      <c r="G17" s="20">
        <f>'11.F&amp;V Crop Production details'!G78</f>
        <v>0</v>
      </c>
      <c r="H17" s="20">
        <f>'11.F&amp;V Crop Production details'!H78</f>
        <v>0</v>
      </c>
    </row>
    <row r="18" spans="1:8" x14ac:dyDescent="0.35">
      <c r="A18" s="20">
        <f>'11.F&amp;V Crop Production details'!A79</f>
        <v>0</v>
      </c>
      <c r="B18" s="20">
        <f>'11.F&amp;V Crop Production details'!B79</f>
        <v>0</v>
      </c>
      <c r="C18" s="20">
        <f>'11.F&amp;V Crop Production details'!C79</f>
        <v>0</v>
      </c>
      <c r="D18" s="20">
        <f>'11.F&amp;V Crop Production details'!D79</f>
        <v>0</v>
      </c>
      <c r="E18" s="20">
        <f>'11.F&amp;V Crop Production details'!E79</f>
        <v>0</v>
      </c>
      <c r="F18" s="20">
        <f>'11.F&amp;V Crop Production details'!F79</f>
        <v>0</v>
      </c>
      <c r="G18" s="20">
        <f>'11.F&amp;V Crop Production details'!G79</f>
        <v>0</v>
      </c>
      <c r="H18" s="20">
        <f>'11.F&amp;V Crop Production details'!H79</f>
        <v>0</v>
      </c>
    </row>
    <row r="19" spans="1:8" x14ac:dyDescent="0.35">
      <c r="A19" s="20">
        <f>'11.F&amp;V Crop Production details'!A80</f>
        <v>0</v>
      </c>
      <c r="B19" s="20">
        <f>'11.F&amp;V Crop Production details'!B80</f>
        <v>0</v>
      </c>
      <c r="C19" s="20">
        <f>'11.F&amp;V Crop Production details'!C80</f>
        <v>0</v>
      </c>
      <c r="D19" s="20">
        <f>'11.F&amp;V Crop Production details'!D80</f>
        <v>0</v>
      </c>
      <c r="E19" s="20">
        <f>'11.F&amp;V Crop Production details'!E80</f>
        <v>0</v>
      </c>
      <c r="F19" s="20">
        <f>'11.F&amp;V Crop Production details'!F80</f>
        <v>0</v>
      </c>
      <c r="G19" s="20">
        <f>'11.F&amp;V Crop Production details'!G80</f>
        <v>0</v>
      </c>
      <c r="H19" s="20">
        <f>'11.F&amp;V Crop Production details'!H80</f>
        <v>0</v>
      </c>
    </row>
    <row r="20" spans="1:8" x14ac:dyDescent="0.35">
      <c r="A20" s="20">
        <f>'11.F&amp;V Crop Production details'!A81</f>
        <v>0</v>
      </c>
      <c r="B20" s="20">
        <f>'11.F&amp;V Crop Production details'!B81</f>
        <v>0</v>
      </c>
      <c r="C20" s="20">
        <f>'11.F&amp;V Crop Production details'!C81</f>
        <v>0</v>
      </c>
      <c r="D20" s="20">
        <f>'11.F&amp;V Crop Production details'!D81</f>
        <v>0</v>
      </c>
      <c r="E20" s="20">
        <f>'11.F&amp;V Crop Production details'!E81</f>
        <v>0</v>
      </c>
      <c r="F20" s="20">
        <f>'11.F&amp;V Crop Production details'!F81</f>
        <v>0</v>
      </c>
      <c r="G20" s="20">
        <f>'11.F&amp;V Crop Production details'!G81</f>
        <v>0</v>
      </c>
      <c r="H20" s="20">
        <f>'11.F&amp;V Crop Production details'!H81</f>
        <v>0</v>
      </c>
    </row>
    <row r="21" spans="1:8" x14ac:dyDescent="0.35">
      <c r="A21" s="20">
        <f>'11.F&amp;V Crop Production details'!A82</f>
        <v>0</v>
      </c>
      <c r="B21" s="20">
        <f>'11.F&amp;V Crop Production details'!B82</f>
        <v>0</v>
      </c>
      <c r="C21" s="20">
        <f>'11.F&amp;V Crop Production details'!C82</f>
        <v>0</v>
      </c>
      <c r="D21" s="20">
        <f>'11.F&amp;V Crop Production details'!D82</f>
        <v>0</v>
      </c>
      <c r="E21" s="20">
        <f>'11.F&amp;V Crop Production details'!E82</f>
        <v>0</v>
      </c>
      <c r="F21" s="20">
        <f>'11.F&amp;V Crop Production details'!F82</f>
        <v>0</v>
      </c>
      <c r="G21" s="20">
        <f>'11.F&amp;V Crop Production details'!G82</f>
        <v>0</v>
      </c>
      <c r="H21" s="20">
        <f>'11.F&amp;V Crop Production details'!H82</f>
        <v>0</v>
      </c>
    </row>
    <row r="22" spans="1:8" x14ac:dyDescent="0.35">
      <c r="A22" s="20" t="str">
        <f>'11.F&amp;V Crop Production details'!A83</f>
        <v>Onion</v>
      </c>
      <c r="B22" s="20">
        <f>'11.F&amp;V Crop Production details'!B83</f>
        <v>0</v>
      </c>
      <c r="C22" s="20">
        <f>'11.F&amp;V Crop Production details'!C83</f>
        <v>0</v>
      </c>
      <c r="D22" s="20">
        <f>'11.F&amp;V Crop Production details'!D83</f>
        <v>0</v>
      </c>
      <c r="E22" s="20">
        <f>'11.F&amp;V Crop Production details'!E83</f>
        <v>0</v>
      </c>
      <c r="F22" s="20">
        <f>'11.F&amp;V Crop Production details'!F83</f>
        <v>0</v>
      </c>
      <c r="G22" s="20">
        <f>'11.F&amp;V Crop Production details'!G83</f>
        <v>0</v>
      </c>
      <c r="H22" s="20">
        <f>'11.F&amp;V Crop Production details'!H83</f>
        <v>0</v>
      </c>
    </row>
    <row r="23" spans="1:8" x14ac:dyDescent="0.35">
      <c r="A23" s="20" t="str">
        <f>'11.F&amp;V Crop Production details'!A84</f>
        <v>Tomato</v>
      </c>
      <c r="B23" s="20">
        <f>'11.F&amp;V Crop Production details'!B84</f>
        <v>0</v>
      </c>
      <c r="C23" s="20">
        <f>'11.F&amp;V Crop Production details'!C84</f>
        <v>0</v>
      </c>
      <c r="D23" s="20">
        <f>'11.F&amp;V Crop Production details'!D84</f>
        <v>0</v>
      </c>
      <c r="E23" s="20">
        <f>'11.F&amp;V Crop Production details'!E84</f>
        <v>0</v>
      </c>
      <c r="F23" s="20">
        <f>'11.F&amp;V Crop Production details'!F84</f>
        <v>0</v>
      </c>
      <c r="G23" s="20">
        <f>'11.F&amp;V Crop Production details'!G84</f>
        <v>0</v>
      </c>
      <c r="H23" s="20">
        <f>'11.F&amp;V Crop Production details'!H84</f>
        <v>0</v>
      </c>
    </row>
    <row r="24" spans="1:8" x14ac:dyDescent="0.35">
      <c r="A24" s="20" t="str">
        <f>'11.F&amp;V Crop Production details'!A85</f>
        <v>Okra</v>
      </c>
      <c r="B24" s="20">
        <f>'11.F&amp;V Crop Production details'!B85</f>
        <v>0</v>
      </c>
      <c r="C24" s="20">
        <f>'11.F&amp;V Crop Production details'!C85</f>
        <v>0</v>
      </c>
      <c r="D24" s="20">
        <f>'11.F&amp;V Crop Production details'!D85</f>
        <v>0</v>
      </c>
      <c r="E24" s="20">
        <f>'11.F&amp;V Crop Production details'!E85</f>
        <v>0</v>
      </c>
      <c r="F24" s="20">
        <f>'11.F&amp;V Crop Production details'!F85</f>
        <v>0</v>
      </c>
      <c r="G24" s="20">
        <f>'11.F&amp;V Crop Production details'!G85</f>
        <v>0</v>
      </c>
      <c r="H24" s="20">
        <f>'11.F&amp;V Crop Production details'!H85</f>
        <v>0</v>
      </c>
    </row>
    <row r="25" spans="1:8" x14ac:dyDescent="0.35">
      <c r="A25" s="20" t="str">
        <f>'11.F&amp;V Crop Production details'!A86</f>
        <v>Chilli</v>
      </c>
      <c r="B25" s="20">
        <f>'11.F&amp;V Crop Production details'!B86</f>
        <v>0</v>
      </c>
      <c r="C25" s="20">
        <f>'11.F&amp;V Crop Production details'!C86</f>
        <v>0</v>
      </c>
      <c r="D25" s="20">
        <f>'11.F&amp;V Crop Production details'!D86</f>
        <v>0</v>
      </c>
      <c r="E25" s="20">
        <f>'11.F&amp;V Crop Production details'!E86</f>
        <v>0</v>
      </c>
      <c r="F25" s="20">
        <f>'11.F&amp;V Crop Production details'!F86</f>
        <v>0</v>
      </c>
      <c r="G25" s="20">
        <f>'11.F&amp;V Crop Production details'!G86</f>
        <v>0</v>
      </c>
      <c r="H25" s="20">
        <f>'11.F&amp;V Crop Production details'!H86</f>
        <v>0</v>
      </c>
    </row>
    <row r="26" spans="1:8" x14ac:dyDescent="0.35">
      <c r="A26" s="20" t="str">
        <f>'11.F&amp;V Crop Production details'!A87</f>
        <v>Brinjal</v>
      </c>
      <c r="B26" s="20">
        <f>'11.F&amp;V Crop Production details'!B87</f>
        <v>0</v>
      </c>
      <c r="C26" s="20">
        <f>'11.F&amp;V Crop Production details'!C87</f>
        <v>0</v>
      </c>
      <c r="D26" s="20">
        <f>'11.F&amp;V Crop Production details'!D87</f>
        <v>0</v>
      </c>
      <c r="E26" s="20">
        <f>'11.F&amp;V Crop Production details'!E87</f>
        <v>0</v>
      </c>
      <c r="F26" s="20">
        <f>'11.F&amp;V Crop Production details'!F87</f>
        <v>0</v>
      </c>
      <c r="G26" s="20">
        <f>'11.F&amp;V Crop Production details'!G87</f>
        <v>0</v>
      </c>
      <c r="H26" s="20">
        <f>'11.F&amp;V Crop Production details'!H87</f>
        <v>0</v>
      </c>
    </row>
    <row r="27" spans="1:8" x14ac:dyDescent="0.35">
      <c r="A27" s="20">
        <f>'11.F&amp;V Crop Production details'!A88</f>
        <v>0</v>
      </c>
      <c r="B27" s="20">
        <f>'11.F&amp;V Crop Production details'!B88</f>
        <v>0</v>
      </c>
      <c r="C27" s="20">
        <f>'11.F&amp;V Crop Production details'!C88</f>
        <v>0</v>
      </c>
      <c r="D27" s="20">
        <f>'11.F&amp;V Crop Production details'!D88</f>
        <v>0</v>
      </c>
      <c r="E27" s="20">
        <f>'11.F&amp;V Crop Production details'!E88</f>
        <v>0</v>
      </c>
      <c r="F27" s="20">
        <f>'11.F&amp;V Crop Production details'!F88</f>
        <v>0</v>
      </c>
      <c r="G27" s="20">
        <f>'11.F&amp;V Crop Production details'!G88</f>
        <v>0</v>
      </c>
      <c r="H27" s="20">
        <f>'11.F&amp;V Crop Production details'!H88</f>
        <v>0</v>
      </c>
    </row>
    <row r="28" spans="1:8" x14ac:dyDescent="0.35">
      <c r="A28" s="20">
        <f>'11.F&amp;V Crop Production details'!A89</f>
        <v>0</v>
      </c>
      <c r="B28" s="20">
        <f>'11.F&amp;V Crop Production details'!B89</f>
        <v>0</v>
      </c>
      <c r="C28" s="20">
        <f>'11.F&amp;V Crop Production details'!C89</f>
        <v>0</v>
      </c>
      <c r="D28" s="20">
        <f>'11.F&amp;V Crop Production details'!D89</f>
        <v>0</v>
      </c>
      <c r="E28" s="20">
        <f>'11.F&amp;V Crop Production details'!E89</f>
        <v>0</v>
      </c>
      <c r="F28" s="20">
        <f>'11.F&amp;V Crop Production details'!F89</f>
        <v>0</v>
      </c>
      <c r="G28" s="20">
        <f>'11.F&amp;V Crop Production details'!G89</f>
        <v>0</v>
      </c>
      <c r="H28" s="20">
        <f>'11.F&amp;V Crop Production details'!H89</f>
        <v>0</v>
      </c>
    </row>
    <row r="29" spans="1:8" x14ac:dyDescent="0.35">
      <c r="A29" s="20">
        <f>'11.F&amp;V Crop Production details'!A90</f>
        <v>0</v>
      </c>
      <c r="B29" s="20">
        <f>'11.F&amp;V Crop Production details'!B90</f>
        <v>0</v>
      </c>
      <c r="C29" s="20">
        <f>'11.F&amp;V Crop Production details'!C90</f>
        <v>0</v>
      </c>
      <c r="D29" s="20">
        <f>'11.F&amp;V Crop Production details'!D90</f>
        <v>0</v>
      </c>
      <c r="E29" s="20">
        <f>'11.F&amp;V Crop Production details'!E90</f>
        <v>0</v>
      </c>
      <c r="F29" s="20">
        <f>'11.F&amp;V Crop Production details'!F90</f>
        <v>0</v>
      </c>
      <c r="G29" s="20">
        <f>'11.F&amp;V Crop Production details'!G90</f>
        <v>0</v>
      </c>
      <c r="H29" s="20">
        <f>'11.F&amp;V Crop Production details'!H90</f>
        <v>0</v>
      </c>
    </row>
    <row r="30" spans="1:8" x14ac:dyDescent="0.35">
      <c r="A30" s="20">
        <f>'11.F&amp;V Crop Production details'!A91</f>
        <v>0</v>
      </c>
      <c r="B30" s="20">
        <f>'11.F&amp;V Crop Production details'!B91</f>
        <v>0</v>
      </c>
      <c r="C30" s="20">
        <f>'11.F&amp;V Crop Production details'!C91</f>
        <v>0</v>
      </c>
      <c r="D30" s="20">
        <f>'11.F&amp;V Crop Production details'!D91</f>
        <v>0</v>
      </c>
      <c r="E30" s="20">
        <f>'11.F&amp;V Crop Production details'!E91</f>
        <v>0</v>
      </c>
      <c r="F30" s="20">
        <f>'11.F&amp;V Crop Production details'!F91</f>
        <v>0</v>
      </c>
      <c r="G30" s="20">
        <f>'11.F&amp;V Crop Production details'!G91</f>
        <v>0</v>
      </c>
      <c r="H30" s="20">
        <f>'11.F&amp;V Crop Production details'!H91</f>
        <v>0</v>
      </c>
    </row>
    <row r="31" spans="1:8" x14ac:dyDescent="0.35">
      <c r="A31" s="20">
        <f>'11.F&amp;V Crop Production details'!A92</f>
        <v>0</v>
      </c>
      <c r="B31" s="20">
        <f>'11.F&amp;V Crop Production details'!B92</f>
        <v>0</v>
      </c>
      <c r="C31" s="20">
        <f>'11.F&amp;V Crop Production details'!C92</f>
        <v>0</v>
      </c>
      <c r="D31" s="20">
        <f>'11.F&amp;V Crop Production details'!D92</f>
        <v>0</v>
      </c>
      <c r="E31" s="20">
        <f>'11.F&amp;V Crop Production details'!E92</f>
        <v>0</v>
      </c>
      <c r="F31" s="20">
        <f>'11.F&amp;V Crop Production details'!F92</f>
        <v>0</v>
      </c>
      <c r="G31" s="20">
        <f>'11.F&amp;V Crop Production details'!G92</f>
        <v>0</v>
      </c>
      <c r="H31" s="20">
        <f>'11.F&amp;V Crop Production details'!H92</f>
        <v>0</v>
      </c>
    </row>
    <row r="32" spans="1:8" x14ac:dyDescent="0.35">
      <c r="A32" s="20">
        <f>'11.F&amp;V Crop Production details'!A93</f>
        <v>0</v>
      </c>
      <c r="B32" s="20">
        <f>'11.F&amp;V Crop Production details'!B93</f>
        <v>0</v>
      </c>
      <c r="C32" s="20">
        <f>'11.F&amp;V Crop Production details'!C93</f>
        <v>0</v>
      </c>
      <c r="D32" s="20">
        <f>'11.F&amp;V Crop Production details'!D93</f>
        <v>0</v>
      </c>
      <c r="E32" s="20">
        <f>'11.F&amp;V Crop Production details'!E93</f>
        <v>0</v>
      </c>
      <c r="F32" s="20">
        <f>'11.F&amp;V Crop Production details'!F93</f>
        <v>0</v>
      </c>
      <c r="G32" s="20">
        <f>'11.F&amp;V Crop Production details'!G93</f>
        <v>0</v>
      </c>
      <c r="H32" s="20">
        <f>'11.F&amp;V Crop Production details'!H93</f>
        <v>0</v>
      </c>
    </row>
    <row r="33" spans="1:8" x14ac:dyDescent="0.35">
      <c r="A33" s="20">
        <f>'11.F&amp;V Crop Production details'!A94</f>
        <v>0</v>
      </c>
      <c r="B33" s="20">
        <f>'11.F&amp;V Crop Production details'!B94</f>
        <v>0</v>
      </c>
      <c r="C33" s="20">
        <f>'11.F&amp;V Crop Production details'!C94</f>
        <v>0</v>
      </c>
      <c r="D33" s="20">
        <f>'11.F&amp;V Crop Production details'!D94</f>
        <v>0</v>
      </c>
      <c r="E33" s="20">
        <f>'11.F&amp;V Crop Production details'!E94</f>
        <v>0</v>
      </c>
      <c r="F33" s="20">
        <f>'11.F&amp;V Crop Production details'!F94</f>
        <v>0</v>
      </c>
      <c r="G33" s="20">
        <f>'11.F&amp;V Crop Production details'!G94</f>
        <v>0</v>
      </c>
      <c r="H33" s="20">
        <f>'11.F&amp;V Crop Production details'!H94</f>
        <v>0</v>
      </c>
    </row>
    <row r="34" spans="1:8" x14ac:dyDescent="0.35">
      <c r="A34" s="20" t="str">
        <f>'11.F&amp;V Crop Production details'!A95</f>
        <v>Pomegranate</v>
      </c>
      <c r="B34" s="20">
        <f>'11.F&amp;V Crop Production details'!B95</f>
        <v>0</v>
      </c>
      <c r="C34" s="20">
        <f>'11.F&amp;V Crop Production details'!C95</f>
        <v>0</v>
      </c>
      <c r="D34" s="20">
        <f>'11.F&amp;V Crop Production details'!D95</f>
        <v>0</v>
      </c>
      <c r="E34" s="20">
        <f>'11.F&amp;V Crop Production details'!E95</f>
        <v>0</v>
      </c>
      <c r="F34" s="20">
        <f>'11.F&amp;V Crop Production details'!F95</f>
        <v>0</v>
      </c>
      <c r="G34" s="20">
        <f>'11.F&amp;V Crop Production details'!G95</f>
        <v>0</v>
      </c>
      <c r="H34" s="20">
        <f>'11.F&amp;V Crop Production details'!H95</f>
        <v>0</v>
      </c>
    </row>
    <row r="35" spans="1:8" x14ac:dyDescent="0.35">
      <c r="A35" s="20" t="str">
        <f>'11.F&amp;V Crop Production details'!A96</f>
        <v>Custard Apple</v>
      </c>
      <c r="B35" s="20">
        <f>'11.F&amp;V Crop Production details'!B96</f>
        <v>0</v>
      </c>
      <c r="C35" s="20">
        <f>'11.F&amp;V Crop Production details'!C96</f>
        <v>0</v>
      </c>
      <c r="D35" s="20">
        <f>'11.F&amp;V Crop Production details'!D96</f>
        <v>0</v>
      </c>
      <c r="E35" s="20">
        <f>'11.F&amp;V Crop Production details'!E96</f>
        <v>0</v>
      </c>
      <c r="F35" s="20">
        <f>'11.F&amp;V Crop Production details'!F96</f>
        <v>0</v>
      </c>
      <c r="G35" s="20">
        <f>'11.F&amp;V Crop Production details'!G96</f>
        <v>0</v>
      </c>
      <c r="H35" s="20">
        <f>'11.F&amp;V Crop Production details'!H96</f>
        <v>0</v>
      </c>
    </row>
    <row r="36" spans="1:8" x14ac:dyDescent="0.35">
      <c r="A36" s="20" t="str">
        <f>'11.F&amp;V Crop Production details'!A97</f>
        <v>Guava</v>
      </c>
      <c r="B36" s="20">
        <f>'11.F&amp;V Crop Production details'!B97</f>
        <v>0</v>
      </c>
      <c r="C36" s="20">
        <f>'11.F&amp;V Crop Production details'!C97</f>
        <v>0</v>
      </c>
      <c r="D36" s="20">
        <f>'11.F&amp;V Crop Production details'!D97</f>
        <v>0</v>
      </c>
      <c r="E36" s="20">
        <f>'11.F&amp;V Crop Production details'!E97</f>
        <v>0</v>
      </c>
      <c r="F36" s="20">
        <f>'11.F&amp;V Crop Production details'!F97</f>
        <v>0</v>
      </c>
      <c r="G36" s="20">
        <f>'11.F&amp;V Crop Production details'!G97</f>
        <v>0</v>
      </c>
      <c r="H36" s="20">
        <f>'11.F&amp;V Crop Production details'!H97</f>
        <v>0</v>
      </c>
    </row>
    <row r="37" spans="1:8" x14ac:dyDescent="0.35">
      <c r="A37" s="20" t="str">
        <f>'11.F&amp;V Crop Production details'!A98</f>
        <v>Citrus</v>
      </c>
      <c r="B37" s="20">
        <f>'11.F&amp;V Crop Production details'!B98</f>
        <v>0</v>
      </c>
      <c r="C37" s="20">
        <f>'11.F&amp;V Crop Production details'!C98</f>
        <v>0</v>
      </c>
      <c r="D37" s="20">
        <f>'11.F&amp;V Crop Production details'!D98</f>
        <v>0</v>
      </c>
      <c r="E37" s="20">
        <f>'11.F&amp;V Crop Production details'!E98</f>
        <v>0</v>
      </c>
      <c r="F37" s="20">
        <f>'11.F&amp;V Crop Production details'!F98</f>
        <v>0</v>
      </c>
      <c r="G37" s="20">
        <f>'11.F&amp;V Crop Production details'!G98</f>
        <v>0</v>
      </c>
      <c r="H37" s="20">
        <f>'11.F&amp;V Crop Production details'!H98</f>
        <v>0</v>
      </c>
    </row>
    <row r="38" spans="1:8" x14ac:dyDescent="0.35">
      <c r="A38" s="20"/>
      <c r="B38" s="20"/>
      <c r="C38" s="20"/>
      <c r="D38" s="20"/>
      <c r="E38" s="20"/>
      <c r="F38" s="20"/>
      <c r="G38" s="20"/>
      <c r="H38" s="20"/>
    </row>
    <row r="39" spans="1:8" x14ac:dyDescent="0.35">
      <c r="A39" s="20" t="s">
        <v>460</v>
      </c>
      <c r="B39" s="20">
        <f>SUM(B13:B37)</f>
        <v>0</v>
      </c>
      <c r="C39" s="20">
        <f t="shared" ref="C39:H39" si="1">SUM(C13:C37)</f>
        <v>0</v>
      </c>
      <c r="D39" s="20">
        <f t="shared" si="1"/>
        <v>0</v>
      </c>
      <c r="E39" s="20">
        <f t="shared" si="1"/>
        <v>0</v>
      </c>
      <c r="F39" s="20">
        <f t="shared" si="1"/>
        <v>0</v>
      </c>
      <c r="G39" s="20">
        <f t="shared" si="1"/>
        <v>0</v>
      </c>
      <c r="H39" s="20">
        <f t="shared" si="1"/>
        <v>0</v>
      </c>
    </row>
    <row r="40" spans="1:8" x14ac:dyDescent="0.35">
      <c r="A40" s="86" t="s">
        <v>161</v>
      </c>
      <c r="B40" s="55">
        <v>0.5</v>
      </c>
      <c r="C40" s="55">
        <v>0.5</v>
      </c>
      <c r="D40" s="55">
        <v>0.5</v>
      </c>
      <c r="E40" s="55">
        <f t="shared" ref="E40:H40" si="2">D40</f>
        <v>0.5</v>
      </c>
      <c r="F40" s="55">
        <f t="shared" si="2"/>
        <v>0.5</v>
      </c>
      <c r="G40" s="55">
        <f t="shared" si="2"/>
        <v>0.5</v>
      </c>
      <c r="H40" s="55">
        <f t="shared" si="2"/>
        <v>0.5</v>
      </c>
    </row>
    <row r="41" spans="1:8" x14ac:dyDescent="0.35">
      <c r="A41" s="23" t="s">
        <v>470</v>
      </c>
      <c r="B41" s="87">
        <f>1-B40</f>
        <v>0.5</v>
      </c>
      <c r="C41" s="87">
        <f t="shared" ref="C41:H41" si="3">1-C40</f>
        <v>0.5</v>
      </c>
      <c r="D41" s="87">
        <f t="shared" si="3"/>
        <v>0.5</v>
      </c>
      <c r="E41" s="87">
        <f t="shared" si="3"/>
        <v>0.5</v>
      </c>
      <c r="F41" s="87">
        <f t="shared" si="3"/>
        <v>0.5</v>
      </c>
      <c r="G41" s="87">
        <f t="shared" si="3"/>
        <v>0.5</v>
      </c>
      <c r="H41" s="87">
        <f t="shared" si="3"/>
        <v>0.5</v>
      </c>
    </row>
    <row r="42" spans="1:8" x14ac:dyDescent="0.35">
      <c r="A42" s="22" t="s">
        <v>161</v>
      </c>
      <c r="B42" s="52">
        <v>100</v>
      </c>
      <c r="C42" s="52">
        <f t="shared" ref="C42:H42" si="4">C39*C40</f>
        <v>0</v>
      </c>
      <c r="D42" s="52">
        <f t="shared" si="4"/>
        <v>0</v>
      </c>
      <c r="E42" s="52">
        <f t="shared" si="4"/>
        <v>0</v>
      </c>
      <c r="F42" s="52">
        <f t="shared" si="4"/>
        <v>0</v>
      </c>
      <c r="G42" s="52">
        <f t="shared" si="4"/>
        <v>0</v>
      </c>
      <c r="H42" s="52">
        <f t="shared" si="4"/>
        <v>0</v>
      </c>
    </row>
    <row r="43" spans="1:8" x14ac:dyDescent="0.35">
      <c r="A43" s="22" t="s">
        <v>162</v>
      </c>
      <c r="B43" s="27"/>
      <c r="C43" s="27"/>
      <c r="D43" s="27"/>
      <c r="E43" s="27"/>
      <c r="F43" s="27"/>
      <c r="G43" s="27"/>
      <c r="H43" s="27"/>
    </row>
    <row r="44" spans="1:8" x14ac:dyDescent="0.35">
      <c r="A44" s="20" t="str">
        <f t="shared" ref="A44:A61" si="5">A13</f>
        <v>Onion</v>
      </c>
      <c r="B44" s="21">
        <f t="shared" ref="B44:B61" si="6">B13*$B$41</f>
        <v>0</v>
      </c>
      <c r="C44" s="21">
        <f t="shared" ref="C44:C61" si="7">C13*$C$41</f>
        <v>0</v>
      </c>
      <c r="D44" s="21">
        <f t="shared" ref="D44:D61" si="8">D13*$D$41</f>
        <v>0</v>
      </c>
      <c r="E44" s="21">
        <f t="shared" ref="E44:E61" si="9">E13*$E$41</f>
        <v>0</v>
      </c>
      <c r="F44" s="21">
        <f t="shared" ref="F44:F61" si="10">F13*$F$41</f>
        <v>0</v>
      </c>
      <c r="G44" s="21">
        <f t="shared" ref="G44:G61" si="11">G13*$G$41</f>
        <v>0</v>
      </c>
      <c r="H44" s="21">
        <f t="shared" ref="H44:H61" si="12">H13*$H$41</f>
        <v>0</v>
      </c>
    </row>
    <row r="45" spans="1:8" x14ac:dyDescent="0.35">
      <c r="A45" s="20" t="str">
        <f t="shared" si="5"/>
        <v>Tomato</v>
      </c>
      <c r="B45" s="21">
        <f t="shared" si="6"/>
        <v>0</v>
      </c>
      <c r="C45" s="21">
        <f t="shared" si="7"/>
        <v>0</v>
      </c>
      <c r="D45" s="21">
        <f t="shared" si="8"/>
        <v>0</v>
      </c>
      <c r="E45" s="21">
        <f t="shared" si="9"/>
        <v>0</v>
      </c>
      <c r="F45" s="21">
        <f t="shared" si="10"/>
        <v>0</v>
      </c>
      <c r="G45" s="21">
        <f t="shared" si="11"/>
        <v>0</v>
      </c>
      <c r="H45" s="21">
        <f t="shared" si="12"/>
        <v>0</v>
      </c>
    </row>
    <row r="46" spans="1:8" x14ac:dyDescent="0.35">
      <c r="A46" s="20" t="str">
        <f t="shared" si="5"/>
        <v>Okra</v>
      </c>
      <c r="B46" s="21">
        <f t="shared" si="6"/>
        <v>0</v>
      </c>
      <c r="C46" s="21">
        <f t="shared" si="7"/>
        <v>0</v>
      </c>
      <c r="D46" s="21">
        <f t="shared" si="8"/>
        <v>0</v>
      </c>
      <c r="E46" s="21">
        <f t="shared" si="9"/>
        <v>0</v>
      </c>
      <c r="F46" s="21">
        <f t="shared" si="10"/>
        <v>0</v>
      </c>
      <c r="G46" s="21">
        <f t="shared" si="11"/>
        <v>0</v>
      </c>
      <c r="H46" s="21">
        <f t="shared" si="12"/>
        <v>0</v>
      </c>
    </row>
    <row r="47" spans="1:8" x14ac:dyDescent="0.35">
      <c r="A47" s="20" t="str">
        <f t="shared" si="5"/>
        <v>Chilli</v>
      </c>
      <c r="B47" s="21">
        <f t="shared" si="6"/>
        <v>0</v>
      </c>
      <c r="C47" s="21">
        <f t="shared" si="7"/>
        <v>0</v>
      </c>
      <c r="D47" s="21">
        <f t="shared" si="8"/>
        <v>0</v>
      </c>
      <c r="E47" s="21">
        <f t="shared" si="9"/>
        <v>0</v>
      </c>
      <c r="F47" s="21">
        <f t="shared" si="10"/>
        <v>0</v>
      </c>
      <c r="G47" s="21">
        <f t="shared" si="11"/>
        <v>0</v>
      </c>
      <c r="H47" s="21">
        <f t="shared" si="12"/>
        <v>0</v>
      </c>
    </row>
    <row r="48" spans="1:8" x14ac:dyDescent="0.35">
      <c r="A48" s="20" t="str">
        <f t="shared" si="5"/>
        <v>Potato</v>
      </c>
      <c r="B48" s="21">
        <f t="shared" si="6"/>
        <v>0</v>
      </c>
      <c r="C48" s="21">
        <f t="shared" si="7"/>
        <v>0</v>
      </c>
      <c r="D48" s="21">
        <f t="shared" si="8"/>
        <v>0</v>
      </c>
      <c r="E48" s="21">
        <f t="shared" si="9"/>
        <v>0</v>
      </c>
      <c r="F48" s="21">
        <f t="shared" si="10"/>
        <v>0</v>
      </c>
      <c r="G48" s="21">
        <f t="shared" si="11"/>
        <v>0</v>
      </c>
      <c r="H48" s="21">
        <f t="shared" si="12"/>
        <v>0</v>
      </c>
    </row>
    <row r="49" spans="1:8" x14ac:dyDescent="0.35">
      <c r="A49" s="20">
        <f t="shared" si="5"/>
        <v>0</v>
      </c>
      <c r="B49" s="21">
        <f t="shared" si="6"/>
        <v>0</v>
      </c>
      <c r="C49" s="21">
        <f t="shared" si="7"/>
        <v>0</v>
      </c>
      <c r="D49" s="21">
        <f t="shared" si="8"/>
        <v>0</v>
      </c>
      <c r="E49" s="21">
        <f t="shared" si="9"/>
        <v>0</v>
      </c>
      <c r="F49" s="21">
        <f t="shared" si="10"/>
        <v>0</v>
      </c>
      <c r="G49" s="21">
        <f t="shared" si="11"/>
        <v>0</v>
      </c>
      <c r="H49" s="21">
        <f t="shared" si="12"/>
        <v>0</v>
      </c>
    </row>
    <row r="50" spans="1:8" x14ac:dyDescent="0.35">
      <c r="A50" s="20">
        <f t="shared" si="5"/>
        <v>0</v>
      </c>
      <c r="B50" s="21">
        <f t="shared" si="6"/>
        <v>0</v>
      </c>
      <c r="C50" s="21">
        <f t="shared" si="7"/>
        <v>0</v>
      </c>
      <c r="D50" s="21">
        <f t="shared" si="8"/>
        <v>0</v>
      </c>
      <c r="E50" s="21">
        <f t="shared" si="9"/>
        <v>0</v>
      </c>
      <c r="F50" s="21">
        <f t="shared" si="10"/>
        <v>0</v>
      </c>
      <c r="G50" s="21">
        <f t="shared" si="11"/>
        <v>0</v>
      </c>
      <c r="H50" s="21">
        <f t="shared" si="12"/>
        <v>0</v>
      </c>
    </row>
    <row r="51" spans="1:8" x14ac:dyDescent="0.35">
      <c r="A51" s="20">
        <f t="shared" si="5"/>
        <v>0</v>
      </c>
      <c r="B51" s="21">
        <f t="shared" si="6"/>
        <v>0</v>
      </c>
      <c r="C51" s="21">
        <f t="shared" si="7"/>
        <v>0</v>
      </c>
      <c r="D51" s="21">
        <f t="shared" si="8"/>
        <v>0</v>
      </c>
      <c r="E51" s="21">
        <f t="shared" si="9"/>
        <v>0</v>
      </c>
      <c r="F51" s="21">
        <f t="shared" si="10"/>
        <v>0</v>
      </c>
      <c r="G51" s="21">
        <f t="shared" si="11"/>
        <v>0</v>
      </c>
      <c r="H51" s="21">
        <f t="shared" si="12"/>
        <v>0</v>
      </c>
    </row>
    <row r="52" spans="1:8" x14ac:dyDescent="0.35">
      <c r="A52" s="20">
        <f t="shared" si="5"/>
        <v>0</v>
      </c>
      <c r="B52" s="21">
        <f t="shared" si="6"/>
        <v>0</v>
      </c>
      <c r="C52" s="21">
        <f t="shared" si="7"/>
        <v>0</v>
      </c>
      <c r="D52" s="21">
        <f t="shared" si="8"/>
        <v>0</v>
      </c>
      <c r="E52" s="21">
        <f t="shared" si="9"/>
        <v>0</v>
      </c>
      <c r="F52" s="21">
        <f t="shared" si="10"/>
        <v>0</v>
      </c>
      <c r="G52" s="21">
        <f t="shared" si="11"/>
        <v>0</v>
      </c>
      <c r="H52" s="21">
        <f t="shared" si="12"/>
        <v>0</v>
      </c>
    </row>
    <row r="53" spans="1:8" x14ac:dyDescent="0.35">
      <c r="A53" s="20" t="str">
        <f t="shared" si="5"/>
        <v>Onion</v>
      </c>
      <c r="B53" s="21">
        <f t="shared" si="6"/>
        <v>0</v>
      </c>
      <c r="C53" s="21">
        <f t="shared" si="7"/>
        <v>0</v>
      </c>
      <c r="D53" s="21">
        <f t="shared" si="8"/>
        <v>0</v>
      </c>
      <c r="E53" s="21">
        <f t="shared" si="9"/>
        <v>0</v>
      </c>
      <c r="F53" s="21">
        <f t="shared" si="10"/>
        <v>0</v>
      </c>
      <c r="G53" s="21">
        <f t="shared" si="11"/>
        <v>0</v>
      </c>
      <c r="H53" s="21">
        <f t="shared" si="12"/>
        <v>0</v>
      </c>
    </row>
    <row r="54" spans="1:8" x14ac:dyDescent="0.35">
      <c r="A54" s="20" t="str">
        <f t="shared" si="5"/>
        <v>Tomato</v>
      </c>
      <c r="B54" s="21">
        <f t="shared" si="6"/>
        <v>0</v>
      </c>
      <c r="C54" s="21">
        <f t="shared" si="7"/>
        <v>0</v>
      </c>
      <c r="D54" s="21">
        <f t="shared" si="8"/>
        <v>0</v>
      </c>
      <c r="E54" s="21">
        <f t="shared" si="9"/>
        <v>0</v>
      </c>
      <c r="F54" s="21">
        <f t="shared" si="10"/>
        <v>0</v>
      </c>
      <c r="G54" s="21">
        <f t="shared" si="11"/>
        <v>0</v>
      </c>
      <c r="H54" s="21">
        <f t="shared" si="12"/>
        <v>0</v>
      </c>
    </row>
    <row r="55" spans="1:8" x14ac:dyDescent="0.35">
      <c r="A55" s="20" t="str">
        <f t="shared" si="5"/>
        <v>Okra</v>
      </c>
      <c r="B55" s="21">
        <f t="shared" si="6"/>
        <v>0</v>
      </c>
      <c r="C55" s="21">
        <f t="shared" si="7"/>
        <v>0</v>
      </c>
      <c r="D55" s="21">
        <f t="shared" si="8"/>
        <v>0</v>
      </c>
      <c r="E55" s="21">
        <f t="shared" si="9"/>
        <v>0</v>
      </c>
      <c r="F55" s="21">
        <f t="shared" si="10"/>
        <v>0</v>
      </c>
      <c r="G55" s="21">
        <f t="shared" si="11"/>
        <v>0</v>
      </c>
      <c r="H55" s="21">
        <f t="shared" si="12"/>
        <v>0</v>
      </c>
    </row>
    <row r="56" spans="1:8" x14ac:dyDescent="0.35">
      <c r="A56" s="20" t="str">
        <f t="shared" si="5"/>
        <v>Chilli</v>
      </c>
      <c r="B56" s="21">
        <f t="shared" si="6"/>
        <v>0</v>
      </c>
      <c r="C56" s="21">
        <f t="shared" si="7"/>
        <v>0</v>
      </c>
      <c r="D56" s="21">
        <f t="shared" si="8"/>
        <v>0</v>
      </c>
      <c r="E56" s="21">
        <f t="shared" si="9"/>
        <v>0</v>
      </c>
      <c r="F56" s="21">
        <f t="shared" si="10"/>
        <v>0</v>
      </c>
      <c r="G56" s="21">
        <f t="shared" si="11"/>
        <v>0</v>
      </c>
      <c r="H56" s="21">
        <f t="shared" si="12"/>
        <v>0</v>
      </c>
    </row>
    <row r="57" spans="1:8" x14ac:dyDescent="0.35">
      <c r="A57" s="20" t="str">
        <f t="shared" si="5"/>
        <v>Brinjal</v>
      </c>
      <c r="B57" s="21">
        <f t="shared" si="6"/>
        <v>0</v>
      </c>
      <c r="C57" s="21">
        <f t="shared" si="7"/>
        <v>0</v>
      </c>
      <c r="D57" s="21">
        <f t="shared" si="8"/>
        <v>0</v>
      </c>
      <c r="E57" s="21">
        <f t="shared" si="9"/>
        <v>0</v>
      </c>
      <c r="F57" s="21">
        <f t="shared" si="10"/>
        <v>0</v>
      </c>
      <c r="G57" s="21">
        <f t="shared" si="11"/>
        <v>0</v>
      </c>
      <c r="H57" s="21">
        <f t="shared" si="12"/>
        <v>0</v>
      </c>
    </row>
    <row r="58" spans="1:8" x14ac:dyDescent="0.35">
      <c r="A58" s="20">
        <f t="shared" si="5"/>
        <v>0</v>
      </c>
      <c r="B58" s="21">
        <f t="shared" si="6"/>
        <v>0</v>
      </c>
      <c r="C58" s="21">
        <f t="shared" si="7"/>
        <v>0</v>
      </c>
      <c r="D58" s="21">
        <f t="shared" si="8"/>
        <v>0</v>
      </c>
      <c r="E58" s="21">
        <f t="shared" si="9"/>
        <v>0</v>
      </c>
      <c r="F58" s="21">
        <f t="shared" si="10"/>
        <v>0</v>
      </c>
      <c r="G58" s="21">
        <f t="shared" si="11"/>
        <v>0</v>
      </c>
      <c r="H58" s="21">
        <f t="shared" si="12"/>
        <v>0</v>
      </c>
    </row>
    <row r="59" spans="1:8" x14ac:dyDescent="0.35">
      <c r="A59" s="20">
        <f t="shared" si="5"/>
        <v>0</v>
      </c>
      <c r="B59" s="21">
        <f t="shared" si="6"/>
        <v>0</v>
      </c>
      <c r="C59" s="21">
        <f t="shared" si="7"/>
        <v>0</v>
      </c>
      <c r="D59" s="21">
        <f t="shared" si="8"/>
        <v>0</v>
      </c>
      <c r="E59" s="21">
        <f t="shared" si="9"/>
        <v>0</v>
      </c>
      <c r="F59" s="21">
        <f t="shared" si="10"/>
        <v>0</v>
      </c>
      <c r="G59" s="21">
        <f t="shared" si="11"/>
        <v>0</v>
      </c>
      <c r="H59" s="21">
        <f t="shared" si="12"/>
        <v>0</v>
      </c>
    </row>
    <row r="60" spans="1:8" x14ac:dyDescent="0.35">
      <c r="A60" s="20">
        <f t="shared" si="5"/>
        <v>0</v>
      </c>
      <c r="B60" s="21">
        <f t="shared" si="6"/>
        <v>0</v>
      </c>
      <c r="C60" s="21">
        <f t="shared" si="7"/>
        <v>0</v>
      </c>
      <c r="D60" s="21">
        <f t="shared" si="8"/>
        <v>0</v>
      </c>
      <c r="E60" s="21">
        <f t="shared" si="9"/>
        <v>0</v>
      </c>
      <c r="F60" s="21">
        <f t="shared" si="10"/>
        <v>0</v>
      </c>
      <c r="G60" s="21">
        <f t="shared" si="11"/>
        <v>0</v>
      </c>
      <c r="H60" s="21">
        <f t="shared" si="12"/>
        <v>0</v>
      </c>
    </row>
    <row r="61" spans="1:8" x14ac:dyDescent="0.35">
      <c r="A61" s="20">
        <f t="shared" si="5"/>
        <v>0</v>
      </c>
      <c r="B61" s="21">
        <f t="shared" si="6"/>
        <v>0</v>
      </c>
      <c r="C61" s="21">
        <f t="shared" si="7"/>
        <v>0</v>
      </c>
      <c r="D61" s="21">
        <f t="shared" si="8"/>
        <v>0</v>
      </c>
      <c r="E61" s="21">
        <f t="shared" si="9"/>
        <v>0</v>
      </c>
      <c r="F61" s="21">
        <f t="shared" si="10"/>
        <v>0</v>
      </c>
      <c r="G61" s="21">
        <f t="shared" si="11"/>
        <v>0</v>
      </c>
      <c r="H61" s="21">
        <f t="shared" si="12"/>
        <v>0</v>
      </c>
    </row>
    <row r="62" spans="1:8" x14ac:dyDescent="0.35">
      <c r="A62" s="20" t="str">
        <f t="shared" ref="A62" si="13">A34</f>
        <v>Pomegranate</v>
      </c>
      <c r="B62" s="21">
        <f>B34*$B$41</f>
        <v>0</v>
      </c>
      <c r="C62" s="21">
        <f t="shared" ref="C62:H62" si="14">C34*$B$41</f>
        <v>0</v>
      </c>
      <c r="D62" s="21">
        <f t="shared" si="14"/>
        <v>0</v>
      </c>
      <c r="E62" s="21">
        <f t="shared" si="14"/>
        <v>0</v>
      </c>
      <c r="F62" s="21">
        <f t="shared" si="14"/>
        <v>0</v>
      </c>
      <c r="G62" s="21">
        <f t="shared" si="14"/>
        <v>0</v>
      </c>
      <c r="H62" s="21">
        <f t="shared" si="14"/>
        <v>0</v>
      </c>
    </row>
    <row r="63" spans="1:8" x14ac:dyDescent="0.35">
      <c r="A63" s="20" t="str">
        <f>A35</f>
        <v>Custard Apple</v>
      </c>
      <c r="B63" s="21">
        <f t="shared" ref="B63:H63" si="15">B35*$B$41</f>
        <v>0</v>
      </c>
      <c r="C63" s="21">
        <f t="shared" si="15"/>
        <v>0</v>
      </c>
      <c r="D63" s="21">
        <f t="shared" si="15"/>
        <v>0</v>
      </c>
      <c r="E63" s="21">
        <f t="shared" si="15"/>
        <v>0</v>
      </c>
      <c r="F63" s="21">
        <f t="shared" si="15"/>
        <v>0</v>
      </c>
      <c r="G63" s="21">
        <f t="shared" si="15"/>
        <v>0</v>
      </c>
      <c r="H63" s="21">
        <f t="shared" si="15"/>
        <v>0</v>
      </c>
    </row>
    <row r="64" spans="1:8" x14ac:dyDescent="0.35">
      <c r="A64" s="20" t="str">
        <f>A36</f>
        <v>Guava</v>
      </c>
      <c r="B64" s="21">
        <f t="shared" ref="B64:H65" si="16">B36*$B$41</f>
        <v>0</v>
      </c>
      <c r="C64" s="21">
        <f t="shared" si="16"/>
        <v>0</v>
      </c>
      <c r="D64" s="21">
        <f t="shared" si="16"/>
        <v>0</v>
      </c>
      <c r="E64" s="21">
        <f t="shared" si="16"/>
        <v>0</v>
      </c>
      <c r="F64" s="21">
        <f t="shared" si="16"/>
        <v>0</v>
      </c>
      <c r="G64" s="21">
        <f t="shared" si="16"/>
        <v>0</v>
      </c>
      <c r="H64" s="21">
        <f t="shared" si="16"/>
        <v>0</v>
      </c>
    </row>
    <row r="65" spans="1:8" x14ac:dyDescent="0.35">
      <c r="A65" s="20" t="str">
        <f>A37</f>
        <v>Citrus</v>
      </c>
      <c r="B65" s="21">
        <f t="shared" si="16"/>
        <v>0</v>
      </c>
      <c r="C65" s="21">
        <f t="shared" si="16"/>
        <v>0</v>
      </c>
      <c r="D65" s="21">
        <f t="shared" si="16"/>
        <v>0</v>
      </c>
      <c r="E65" s="21">
        <f t="shared" si="16"/>
        <v>0</v>
      </c>
      <c r="F65" s="21">
        <f t="shared" si="16"/>
        <v>0</v>
      </c>
      <c r="G65" s="21">
        <f t="shared" si="16"/>
        <v>0</v>
      </c>
      <c r="H65" s="21">
        <f t="shared" si="16"/>
        <v>0</v>
      </c>
    </row>
    <row r="66" spans="1:8" x14ac:dyDescent="0.35">
      <c r="A66" s="22" t="s">
        <v>283</v>
      </c>
      <c r="B66" s="20"/>
      <c r="C66" s="20"/>
      <c r="D66" s="20"/>
      <c r="E66" s="20"/>
      <c r="F66" s="20"/>
      <c r="G66" s="20"/>
      <c r="H66" s="20"/>
    </row>
    <row r="67" spans="1:8" x14ac:dyDescent="0.35">
      <c r="A67" s="20" t="str">
        <f>A44</f>
        <v>Onion</v>
      </c>
      <c r="B67" s="35"/>
      <c r="C67" s="35"/>
      <c r="D67" s="35"/>
      <c r="E67" s="35"/>
      <c r="F67" s="35"/>
      <c r="G67" s="35"/>
      <c r="H67" s="35"/>
    </row>
    <row r="68" spans="1:8" x14ac:dyDescent="0.35">
      <c r="A68" s="20"/>
      <c r="B68" s="35"/>
      <c r="C68" s="35"/>
      <c r="D68" s="35"/>
      <c r="E68" s="35"/>
      <c r="F68" s="35"/>
      <c r="G68" s="35"/>
      <c r="H68" s="35"/>
    </row>
    <row r="69" spans="1:8" x14ac:dyDescent="0.35">
      <c r="A69" s="20"/>
      <c r="B69" s="35"/>
      <c r="C69" s="35"/>
      <c r="D69" s="35"/>
      <c r="E69" s="35"/>
      <c r="F69" s="35"/>
      <c r="G69" s="35"/>
      <c r="H69" s="35"/>
    </row>
    <row r="70" spans="1:8" x14ac:dyDescent="0.35">
      <c r="A70" s="20"/>
      <c r="B70" s="35"/>
      <c r="C70" s="35"/>
      <c r="D70" s="35"/>
      <c r="E70" s="35"/>
      <c r="F70" s="35"/>
      <c r="G70" s="35"/>
      <c r="H70" s="35"/>
    </row>
    <row r="71" spans="1:8" x14ac:dyDescent="0.35">
      <c r="A71" s="20" t="str">
        <f>A45</f>
        <v>Tomato</v>
      </c>
      <c r="B71" s="21"/>
      <c r="C71" s="21"/>
      <c r="D71" s="21"/>
      <c r="E71" s="21"/>
      <c r="F71" s="21"/>
      <c r="G71" s="21"/>
      <c r="H71" s="21"/>
    </row>
    <row r="72" spans="1:8" x14ac:dyDescent="0.35">
      <c r="A72" s="20"/>
      <c r="B72" s="21"/>
      <c r="C72" s="21"/>
      <c r="D72" s="21"/>
      <c r="E72" s="21"/>
      <c r="F72" s="21"/>
      <c r="G72" s="21"/>
      <c r="H72" s="21"/>
    </row>
    <row r="73" spans="1:8" x14ac:dyDescent="0.35">
      <c r="A73" s="20"/>
      <c r="B73" s="21"/>
      <c r="C73" s="21"/>
      <c r="D73" s="21"/>
      <c r="E73" s="21"/>
      <c r="F73" s="21"/>
      <c r="G73" s="21"/>
      <c r="H73" s="21"/>
    </row>
    <row r="74" spans="1:8" x14ac:dyDescent="0.35">
      <c r="A74" s="20"/>
      <c r="B74" s="21"/>
      <c r="C74" s="21"/>
      <c r="D74" s="21"/>
      <c r="E74" s="21"/>
      <c r="F74" s="21"/>
      <c r="G74" s="21"/>
      <c r="H74" s="21"/>
    </row>
    <row r="75" spans="1:8" x14ac:dyDescent="0.35">
      <c r="A75" s="20" t="str">
        <f>A46</f>
        <v>Okra</v>
      </c>
      <c r="B75" s="21"/>
      <c r="C75" s="21"/>
      <c r="D75" s="21"/>
      <c r="E75" s="21"/>
      <c r="F75" s="21"/>
      <c r="G75" s="21"/>
      <c r="H75" s="21"/>
    </row>
    <row r="76" spans="1:8" x14ac:dyDescent="0.35">
      <c r="A76" s="20"/>
      <c r="B76" s="21"/>
      <c r="C76" s="21"/>
      <c r="D76" s="21"/>
      <c r="E76" s="21"/>
      <c r="F76" s="21"/>
      <c r="G76" s="21"/>
      <c r="H76" s="21"/>
    </row>
    <row r="77" spans="1:8" x14ac:dyDescent="0.35">
      <c r="A77" s="20"/>
      <c r="B77" s="21"/>
      <c r="C77" s="21"/>
      <c r="D77" s="21"/>
      <c r="E77" s="21"/>
      <c r="F77" s="21"/>
      <c r="G77" s="21"/>
      <c r="H77" s="21"/>
    </row>
    <row r="78" spans="1:8" x14ac:dyDescent="0.35">
      <c r="A78" s="20"/>
      <c r="B78" s="21"/>
      <c r="C78" s="21"/>
      <c r="D78" s="21"/>
      <c r="E78" s="21"/>
      <c r="F78" s="21"/>
      <c r="G78" s="21"/>
      <c r="H78" s="21"/>
    </row>
    <row r="79" spans="1:8" x14ac:dyDescent="0.35">
      <c r="A79" s="20" t="str">
        <f>A47</f>
        <v>Chilli</v>
      </c>
      <c r="B79" s="21"/>
      <c r="C79" s="21"/>
      <c r="D79" s="21"/>
      <c r="E79" s="21"/>
      <c r="F79" s="21"/>
      <c r="G79" s="21"/>
      <c r="H79" s="21"/>
    </row>
    <row r="80" spans="1:8" x14ac:dyDescent="0.35">
      <c r="A80" s="20"/>
      <c r="B80" s="21"/>
      <c r="C80" s="21"/>
      <c r="D80" s="21"/>
      <c r="E80" s="21"/>
      <c r="F80" s="21"/>
      <c r="G80" s="21"/>
      <c r="H80" s="21"/>
    </row>
    <row r="81" spans="1:8" x14ac:dyDescent="0.35">
      <c r="A81" s="20"/>
      <c r="B81" s="21"/>
      <c r="C81" s="21"/>
      <c r="D81" s="21"/>
      <c r="E81" s="21"/>
      <c r="F81" s="21"/>
      <c r="G81" s="21"/>
      <c r="H81" s="21"/>
    </row>
    <row r="82" spans="1:8" x14ac:dyDescent="0.35">
      <c r="A82" s="20"/>
      <c r="B82" s="21"/>
      <c r="C82" s="21"/>
      <c r="D82" s="21"/>
      <c r="E82" s="21"/>
      <c r="F82" s="21"/>
      <c r="G82" s="21"/>
      <c r="H82" s="21"/>
    </row>
    <row r="83" spans="1:8" x14ac:dyDescent="0.35">
      <c r="A83" s="20" t="str">
        <f>A48</f>
        <v>Potato</v>
      </c>
      <c r="B83" s="21"/>
      <c r="C83" s="21"/>
      <c r="D83" s="21"/>
      <c r="E83" s="21"/>
      <c r="F83" s="21"/>
      <c r="G83" s="21"/>
      <c r="H83" s="21"/>
    </row>
    <row r="84" spans="1:8" x14ac:dyDescent="0.35">
      <c r="A84" s="20"/>
      <c r="B84" s="21"/>
      <c r="C84" s="21"/>
      <c r="D84" s="21"/>
      <c r="E84" s="21"/>
      <c r="F84" s="21"/>
      <c r="G84" s="21"/>
      <c r="H84" s="21"/>
    </row>
    <row r="85" spans="1:8" x14ac:dyDescent="0.35">
      <c r="A85" s="20"/>
      <c r="B85" s="21"/>
      <c r="C85" s="21"/>
      <c r="D85" s="21"/>
      <c r="E85" s="21"/>
      <c r="F85" s="21"/>
      <c r="G85" s="21"/>
      <c r="H85" s="21"/>
    </row>
    <row r="86" spans="1:8" x14ac:dyDescent="0.35">
      <c r="A86" s="20"/>
      <c r="B86" s="21"/>
      <c r="C86" s="21"/>
      <c r="D86" s="21"/>
      <c r="E86" s="21"/>
      <c r="F86" s="21"/>
      <c r="G86" s="21"/>
      <c r="H86" s="21"/>
    </row>
    <row r="87" spans="1:8" x14ac:dyDescent="0.35">
      <c r="A87" s="20">
        <f>A49</f>
        <v>0</v>
      </c>
      <c r="B87" s="21"/>
      <c r="C87" s="21"/>
      <c r="D87" s="21"/>
      <c r="E87" s="21"/>
      <c r="F87" s="21"/>
      <c r="G87" s="21"/>
      <c r="H87" s="21"/>
    </row>
    <row r="88" spans="1:8" x14ac:dyDescent="0.35">
      <c r="A88" s="20"/>
      <c r="B88" s="21"/>
      <c r="C88" s="21"/>
      <c r="D88" s="21"/>
      <c r="E88" s="21"/>
      <c r="F88" s="21"/>
      <c r="G88" s="21"/>
      <c r="H88" s="21"/>
    </row>
    <row r="89" spans="1:8" x14ac:dyDescent="0.35">
      <c r="A89" s="20"/>
      <c r="B89" s="21"/>
      <c r="C89" s="21"/>
      <c r="D89" s="21"/>
      <c r="E89" s="21"/>
      <c r="F89" s="21"/>
      <c r="G89" s="21"/>
      <c r="H89" s="21"/>
    </row>
    <row r="90" spans="1:8" x14ac:dyDescent="0.35">
      <c r="A90" s="20"/>
      <c r="B90" s="21"/>
      <c r="C90" s="21"/>
      <c r="D90" s="21"/>
      <c r="E90" s="21"/>
      <c r="F90" s="21"/>
      <c r="G90" s="21"/>
      <c r="H90" s="21"/>
    </row>
    <row r="91" spans="1:8" x14ac:dyDescent="0.35">
      <c r="A91" s="20">
        <f>A50</f>
        <v>0</v>
      </c>
      <c r="B91" s="21"/>
      <c r="C91" s="21"/>
      <c r="D91" s="21"/>
      <c r="E91" s="21"/>
      <c r="F91" s="21"/>
      <c r="G91" s="21"/>
      <c r="H91" s="21"/>
    </row>
    <row r="92" spans="1:8" x14ac:dyDescent="0.35">
      <c r="A92" s="20"/>
      <c r="B92" s="21"/>
      <c r="C92" s="21"/>
      <c r="D92" s="21"/>
      <c r="E92" s="21"/>
      <c r="F92" s="21"/>
      <c r="G92" s="21"/>
      <c r="H92" s="21"/>
    </row>
    <row r="93" spans="1:8" x14ac:dyDescent="0.35">
      <c r="A93" s="20"/>
      <c r="B93" s="21"/>
      <c r="C93" s="21"/>
      <c r="D93" s="21"/>
      <c r="E93" s="21"/>
      <c r="F93" s="21"/>
      <c r="G93" s="21"/>
      <c r="H93" s="21"/>
    </row>
    <row r="94" spans="1:8" x14ac:dyDescent="0.35">
      <c r="A94" s="20">
        <f>A51</f>
        <v>0</v>
      </c>
      <c r="B94" s="21"/>
      <c r="C94" s="21"/>
      <c r="D94" s="21"/>
      <c r="E94" s="21"/>
      <c r="F94" s="21"/>
      <c r="G94" s="21"/>
      <c r="H94" s="21"/>
    </row>
    <row r="95" spans="1:8" x14ac:dyDescent="0.35">
      <c r="A95" s="20"/>
      <c r="B95" s="21"/>
      <c r="C95" s="21"/>
      <c r="D95" s="21"/>
      <c r="E95" s="21"/>
      <c r="F95" s="21"/>
      <c r="G95" s="21"/>
      <c r="H95" s="21"/>
    </row>
    <row r="96" spans="1:8" x14ac:dyDescent="0.35">
      <c r="A96" s="20"/>
      <c r="B96" s="21"/>
      <c r="C96" s="21"/>
      <c r="D96" s="21"/>
      <c r="E96" s="21"/>
      <c r="F96" s="21"/>
      <c r="G96" s="21"/>
      <c r="H96" s="21"/>
    </row>
    <row r="97" spans="1:8" x14ac:dyDescent="0.35">
      <c r="A97" s="20"/>
      <c r="B97" s="21"/>
      <c r="C97" s="21"/>
      <c r="D97" s="21"/>
      <c r="E97" s="21"/>
      <c r="F97" s="21"/>
      <c r="G97" s="21"/>
      <c r="H97" s="21"/>
    </row>
    <row r="98" spans="1:8" x14ac:dyDescent="0.35">
      <c r="A98" s="20">
        <f>A52</f>
        <v>0</v>
      </c>
      <c r="B98" s="21"/>
      <c r="C98" s="21"/>
      <c r="D98" s="21"/>
      <c r="E98" s="21"/>
      <c r="F98" s="21"/>
      <c r="G98" s="21"/>
      <c r="H98" s="21"/>
    </row>
    <row r="99" spans="1:8" x14ac:dyDescent="0.35">
      <c r="A99" s="20"/>
      <c r="B99" s="21"/>
      <c r="C99" s="21"/>
      <c r="D99" s="21"/>
      <c r="E99" s="21"/>
      <c r="F99" s="21"/>
      <c r="G99" s="21"/>
      <c r="H99" s="21"/>
    </row>
    <row r="100" spans="1:8" x14ac:dyDescent="0.35">
      <c r="A100" s="20"/>
      <c r="B100" s="21"/>
      <c r="C100" s="21"/>
      <c r="D100" s="21"/>
      <c r="E100" s="21"/>
      <c r="F100" s="21"/>
      <c r="G100" s="21"/>
      <c r="H100" s="21"/>
    </row>
    <row r="101" spans="1:8" x14ac:dyDescent="0.35">
      <c r="A101" s="20"/>
      <c r="B101" s="21"/>
      <c r="C101" s="21"/>
      <c r="D101" s="21"/>
      <c r="E101" s="21"/>
      <c r="F101" s="21"/>
      <c r="G101" s="21"/>
      <c r="H101" s="21"/>
    </row>
    <row r="102" spans="1:8" x14ac:dyDescent="0.35">
      <c r="A102" s="20" t="str">
        <f>A53</f>
        <v>Onion</v>
      </c>
      <c r="B102" s="21"/>
      <c r="C102" s="21"/>
      <c r="D102" s="21"/>
      <c r="E102" s="21"/>
      <c r="F102" s="21"/>
      <c r="G102" s="21"/>
      <c r="H102" s="21"/>
    </row>
    <row r="103" spans="1:8" x14ac:dyDescent="0.35">
      <c r="A103" s="20"/>
      <c r="B103" s="21"/>
      <c r="C103" s="21"/>
      <c r="D103" s="21"/>
      <c r="E103" s="21"/>
      <c r="F103" s="21"/>
      <c r="G103" s="21"/>
      <c r="H103" s="21"/>
    </row>
    <row r="104" spans="1:8" x14ac:dyDescent="0.35">
      <c r="A104" s="20"/>
      <c r="B104" s="21"/>
      <c r="C104" s="21"/>
      <c r="D104" s="21"/>
      <c r="E104" s="21"/>
      <c r="F104" s="21"/>
      <c r="G104" s="21"/>
      <c r="H104" s="21"/>
    </row>
    <row r="105" spans="1:8" x14ac:dyDescent="0.35">
      <c r="A105" s="20"/>
      <c r="B105" s="21"/>
      <c r="C105" s="21"/>
      <c r="D105" s="21"/>
      <c r="E105" s="21"/>
      <c r="F105" s="21"/>
      <c r="G105" s="21"/>
      <c r="H105" s="21"/>
    </row>
    <row r="106" spans="1:8" x14ac:dyDescent="0.35">
      <c r="A106" s="20" t="str">
        <f>A54</f>
        <v>Tomato</v>
      </c>
      <c r="B106" s="21"/>
      <c r="C106" s="21"/>
      <c r="D106" s="21"/>
      <c r="E106" s="21"/>
      <c r="F106" s="21"/>
      <c r="G106" s="21"/>
      <c r="H106" s="21"/>
    </row>
    <row r="107" spans="1:8" x14ac:dyDescent="0.35">
      <c r="A107" s="20"/>
      <c r="B107" s="21"/>
      <c r="C107" s="21"/>
      <c r="D107" s="21"/>
      <c r="E107" s="21"/>
      <c r="F107" s="21"/>
      <c r="G107" s="21"/>
      <c r="H107" s="21"/>
    </row>
    <row r="108" spans="1:8" x14ac:dyDescent="0.35">
      <c r="A108" s="20"/>
      <c r="B108" s="21"/>
      <c r="C108" s="21"/>
      <c r="D108" s="21"/>
      <c r="E108" s="21"/>
      <c r="F108" s="21"/>
      <c r="G108" s="21"/>
      <c r="H108" s="21"/>
    </row>
    <row r="109" spans="1:8" x14ac:dyDescent="0.35">
      <c r="A109" s="20"/>
      <c r="B109" s="21"/>
      <c r="C109" s="21"/>
      <c r="D109" s="21"/>
      <c r="E109" s="21"/>
      <c r="F109" s="21"/>
      <c r="G109" s="21"/>
      <c r="H109" s="21"/>
    </row>
    <row r="110" spans="1:8" x14ac:dyDescent="0.35">
      <c r="A110" s="20" t="str">
        <f>A55</f>
        <v>Okra</v>
      </c>
      <c r="B110" s="21"/>
      <c r="C110" s="21"/>
      <c r="D110" s="21"/>
      <c r="E110" s="21"/>
      <c r="F110" s="21"/>
      <c r="G110" s="21"/>
      <c r="H110" s="21"/>
    </row>
    <row r="111" spans="1:8" x14ac:dyDescent="0.35">
      <c r="A111" s="20"/>
      <c r="B111" s="21"/>
      <c r="C111" s="21"/>
      <c r="D111" s="21"/>
      <c r="E111" s="21"/>
      <c r="F111" s="21"/>
      <c r="G111" s="21"/>
      <c r="H111" s="21"/>
    </row>
    <row r="112" spans="1:8" x14ac:dyDescent="0.35">
      <c r="A112" s="20"/>
      <c r="B112" s="21"/>
      <c r="C112" s="21"/>
      <c r="D112" s="21"/>
      <c r="E112" s="21"/>
      <c r="F112" s="21"/>
      <c r="G112" s="21"/>
      <c r="H112" s="21"/>
    </row>
    <row r="113" spans="1:8" x14ac:dyDescent="0.35">
      <c r="A113" s="20"/>
      <c r="B113" s="21"/>
      <c r="C113" s="21"/>
      <c r="D113" s="21"/>
      <c r="E113" s="21"/>
      <c r="F113" s="21"/>
      <c r="G113" s="21"/>
      <c r="H113" s="21"/>
    </row>
    <row r="114" spans="1:8" x14ac:dyDescent="0.35">
      <c r="A114" s="20" t="str">
        <f>A56</f>
        <v>Chilli</v>
      </c>
      <c r="B114" s="21"/>
      <c r="C114" s="21"/>
      <c r="D114" s="21"/>
      <c r="E114" s="21"/>
      <c r="F114" s="21"/>
      <c r="G114" s="21"/>
      <c r="H114" s="21"/>
    </row>
    <row r="115" spans="1:8" x14ac:dyDescent="0.35">
      <c r="A115" s="20"/>
      <c r="B115" s="21"/>
      <c r="C115" s="21"/>
      <c r="D115" s="21"/>
      <c r="E115" s="21"/>
      <c r="F115" s="21"/>
      <c r="G115" s="21"/>
      <c r="H115" s="21"/>
    </row>
    <row r="116" spans="1:8" x14ac:dyDescent="0.35">
      <c r="A116" s="20"/>
      <c r="B116" s="21"/>
      <c r="C116" s="21"/>
      <c r="D116" s="21"/>
      <c r="E116" s="21"/>
      <c r="F116" s="21"/>
      <c r="G116" s="21"/>
      <c r="H116" s="21"/>
    </row>
    <row r="117" spans="1:8" x14ac:dyDescent="0.35">
      <c r="A117" s="20"/>
      <c r="B117" s="21"/>
      <c r="C117" s="21"/>
      <c r="D117" s="21"/>
      <c r="E117" s="21"/>
      <c r="F117" s="21"/>
      <c r="G117" s="21"/>
      <c r="H117" s="21"/>
    </row>
    <row r="118" spans="1:8" x14ac:dyDescent="0.35">
      <c r="A118" s="22" t="str">
        <f t="shared" ref="A118:A123" si="17">A57</f>
        <v>Brinjal</v>
      </c>
      <c r="B118" s="21"/>
      <c r="C118" s="21"/>
      <c r="D118" s="21"/>
      <c r="E118" s="21"/>
      <c r="F118" s="21"/>
      <c r="G118" s="21"/>
      <c r="H118" s="21"/>
    </row>
    <row r="119" spans="1:8" x14ac:dyDescent="0.35">
      <c r="A119" s="20">
        <f t="shared" si="17"/>
        <v>0</v>
      </c>
      <c r="B119" s="21"/>
      <c r="C119" s="21"/>
      <c r="D119" s="21"/>
      <c r="E119" s="21"/>
      <c r="F119" s="21"/>
      <c r="G119" s="21"/>
      <c r="H119" s="21"/>
    </row>
    <row r="120" spans="1:8" x14ac:dyDescent="0.35">
      <c r="A120" s="20">
        <f t="shared" si="17"/>
        <v>0</v>
      </c>
      <c r="B120" s="21"/>
      <c r="C120" s="21"/>
      <c r="D120" s="21"/>
      <c r="E120" s="21"/>
      <c r="F120" s="21"/>
      <c r="G120" s="21"/>
      <c r="H120" s="21"/>
    </row>
    <row r="121" spans="1:8" x14ac:dyDescent="0.35">
      <c r="A121" s="20">
        <f t="shared" si="17"/>
        <v>0</v>
      </c>
      <c r="B121" s="21"/>
      <c r="C121" s="21"/>
      <c r="D121" s="21"/>
      <c r="E121" s="21"/>
      <c r="F121" s="21"/>
      <c r="G121" s="21"/>
      <c r="H121" s="21"/>
    </row>
    <row r="122" spans="1:8" x14ac:dyDescent="0.35">
      <c r="A122" s="20">
        <f t="shared" si="17"/>
        <v>0</v>
      </c>
      <c r="B122" s="21"/>
      <c r="C122" s="21"/>
      <c r="D122" s="21"/>
      <c r="E122" s="21"/>
      <c r="F122" s="21"/>
      <c r="G122" s="21"/>
      <c r="H122" s="21"/>
    </row>
    <row r="123" spans="1:8" x14ac:dyDescent="0.35">
      <c r="A123" s="22" t="str">
        <f t="shared" si="17"/>
        <v>Pomegranate</v>
      </c>
      <c r="B123" s="21"/>
      <c r="C123" s="21"/>
      <c r="D123" s="21"/>
      <c r="E123" s="21"/>
      <c r="F123" s="21"/>
      <c r="G123" s="21"/>
      <c r="H123" s="21"/>
    </row>
    <row r="124" spans="1:8" x14ac:dyDescent="0.35">
      <c r="A124" s="20" t="s">
        <v>517</v>
      </c>
      <c r="B124" s="21">
        <f>(B$62*50%)*0.7</f>
        <v>0</v>
      </c>
      <c r="C124" s="21">
        <f>(C$62*50%)*0.7</f>
        <v>0</v>
      </c>
      <c r="D124" s="21">
        <f t="shared" ref="D124:H126" si="18">(D$62*50%)*0.7</f>
        <v>0</v>
      </c>
      <c r="E124" s="21">
        <f t="shared" si="18"/>
        <v>0</v>
      </c>
      <c r="F124" s="21">
        <f t="shared" si="18"/>
        <v>0</v>
      </c>
      <c r="G124" s="21">
        <f t="shared" si="18"/>
        <v>0</v>
      </c>
      <c r="H124" s="21">
        <f t="shared" si="18"/>
        <v>0</v>
      </c>
    </row>
    <row r="125" spans="1:8" x14ac:dyDescent="0.35">
      <c r="A125" s="20" t="s">
        <v>515</v>
      </c>
      <c r="B125" s="21">
        <f>(B$62*50%)*0.7*2</f>
        <v>0</v>
      </c>
      <c r="C125" s="21">
        <f>(C$62*50%)*0.7</f>
        <v>0</v>
      </c>
      <c r="D125" s="21">
        <f t="shared" si="18"/>
        <v>0</v>
      </c>
      <c r="E125" s="21">
        <f t="shared" si="18"/>
        <v>0</v>
      </c>
      <c r="F125" s="21">
        <f t="shared" si="18"/>
        <v>0</v>
      </c>
      <c r="G125" s="21">
        <f t="shared" si="18"/>
        <v>0</v>
      </c>
      <c r="H125" s="21">
        <f t="shared" si="18"/>
        <v>0</v>
      </c>
    </row>
    <row r="126" spans="1:8" x14ac:dyDescent="0.35">
      <c r="A126" s="20" t="s">
        <v>516</v>
      </c>
      <c r="B126" s="21">
        <f>(B$62*0.3)*0.2</f>
        <v>0</v>
      </c>
      <c r="C126" s="21">
        <f>(C$62*50%)*0.7</f>
        <v>0</v>
      </c>
      <c r="D126" s="21">
        <f t="shared" si="18"/>
        <v>0</v>
      </c>
      <c r="E126" s="21">
        <f t="shared" si="18"/>
        <v>0</v>
      </c>
      <c r="F126" s="21">
        <f t="shared" si="18"/>
        <v>0</v>
      </c>
      <c r="G126" s="21">
        <f t="shared" si="18"/>
        <v>0</v>
      </c>
      <c r="H126" s="21">
        <f t="shared" si="18"/>
        <v>0</v>
      </c>
    </row>
    <row r="127" spans="1:8" x14ac:dyDescent="0.35">
      <c r="A127" s="20" t="str">
        <f t="shared" ref="A127" si="19">A63</f>
        <v>Custard Apple</v>
      </c>
      <c r="B127" s="21"/>
      <c r="C127" s="21"/>
      <c r="D127" s="21"/>
      <c r="E127" s="21"/>
      <c r="F127" s="21"/>
      <c r="G127" s="21"/>
      <c r="H127" s="21"/>
    </row>
    <row r="128" spans="1:8" x14ac:dyDescent="0.35">
      <c r="A128" s="20"/>
      <c r="B128" s="21"/>
      <c r="C128" s="21"/>
      <c r="D128" s="21"/>
      <c r="E128" s="21"/>
      <c r="F128" s="21"/>
      <c r="G128" s="21"/>
      <c r="H128" s="21"/>
    </row>
    <row r="129" spans="1:8" x14ac:dyDescent="0.35">
      <c r="A129" s="20"/>
      <c r="B129" s="21"/>
      <c r="C129" s="21"/>
      <c r="D129" s="21"/>
      <c r="E129" s="21"/>
      <c r="F129" s="21"/>
      <c r="G129" s="21"/>
      <c r="H129" s="21"/>
    </row>
    <row r="130" spans="1:8" x14ac:dyDescent="0.35">
      <c r="A130" s="20"/>
      <c r="B130" s="21"/>
      <c r="C130" s="21"/>
      <c r="D130" s="21"/>
      <c r="E130" s="21"/>
      <c r="F130" s="21"/>
      <c r="G130" s="21"/>
      <c r="H130" s="21"/>
    </row>
    <row r="131" spans="1:8" x14ac:dyDescent="0.35">
      <c r="A131" s="20" t="str">
        <f>A64</f>
        <v>Guava</v>
      </c>
      <c r="B131" s="21"/>
      <c r="C131" s="21"/>
      <c r="D131" s="21"/>
      <c r="E131" s="21"/>
      <c r="F131" s="21"/>
      <c r="G131" s="21"/>
      <c r="H131" s="21"/>
    </row>
    <row r="132" spans="1:8" x14ac:dyDescent="0.35">
      <c r="A132" s="20"/>
      <c r="B132" s="21"/>
      <c r="C132" s="21"/>
      <c r="D132" s="21"/>
      <c r="E132" s="21"/>
      <c r="F132" s="21"/>
      <c r="G132" s="21"/>
      <c r="H132" s="21"/>
    </row>
    <row r="133" spans="1:8" x14ac:dyDescent="0.35">
      <c r="A133" s="20"/>
      <c r="B133" s="21"/>
      <c r="C133" s="21"/>
      <c r="D133" s="21"/>
      <c r="E133" s="21"/>
      <c r="F133" s="21"/>
      <c r="G133" s="21"/>
      <c r="H133" s="21"/>
    </row>
    <row r="134" spans="1:8" x14ac:dyDescent="0.35">
      <c r="A134" s="20"/>
      <c r="B134" s="21"/>
      <c r="C134" s="21"/>
      <c r="D134" s="21"/>
      <c r="E134" s="21"/>
      <c r="F134" s="21"/>
      <c r="G134" s="21"/>
      <c r="H134" s="21"/>
    </row>
    <row r="135" spans="1:8" x14ac:dyDescent="0.35">
      <c r="A135" s="20" t="str">
        <f>A65</f>
        <v>Citrus</v>
      </c>
      <c r="B135" s="21"/>
      <c r="C135" s="21"/>
      <c r="D135" s="21"/>
      <c r="E135" s="21"/>
      <c r="F135" s="21"/>
      <c r="G135" s="21"/>
      <c r="H135" s="21"/>
    </row>
    <row r="136" spans="1:8" x14ac:dyDescent="0.35">
      <c r="A136" s="20"/>
      <c r="B136" s="21"/>
      <c r="C136" s="21"/>
      <c r="D136" s="21"/>
      <c r="E136" s="21"/>
      <c r="F136" s="21"/>
      <c r="G136" s="21"/>
      <c r="H136" s="21"/>
    </row>
    <row r="137" spans="1:8" x14ac:dyDescent="0.35">
      <c r="A137" s="20"/>
      <c r="B137" s="21"/>
      <c r="C137" s="21"/>
      <c r="D137" s="21"/>
      <c r="E137" s="21"/>
      <c r="F137" s="21"/>
      <c r="G137" s="21"/>
      <c r="H137" s="21"/>
    </row>
    <row r="138" spans="1:8" x14ac:dyDescent="0.35">
      <c r="A138" s="20"/>
      <c r="B138" s="21"/>
      <c r="C138" s="21"/>
      <c r="D138" s="21"/>
      <c r="E138" s="21"/>
      <c r="F138" s="21"/>
      <c r="G138" s="21"/>
      <c r="H138" s="21"/>
    </row>
    <row r="139" spans="1:8" x14ac:dyDescent="0.35">
      <c r="A139" s="33"/>
      <c r="B139" s="73"/>
      <c r="C139" s="73"/>
      <c r="D139" s="73"/>
      <c r="E139" s="73"/>
      <c r="F139" s="73"/>
      <c r="G139" s="73"/>
      <c r="H139" s="73"/>
    </row>
    <row r="140" spans="1:8" x14ac:dyDescent="0.35">
      <c r="A140" s="34" t="s">
        <v>447</v>
      </c>
    </row>
    <row r="141" spans="1:8" x14ac:dyDescent="0.35">
      <c r="A141" t="s">
        <v>520</v>
      </c>
      <c r="B141" s="10">
        <f t="shared" ref="B141:C143" si="20">(B124*100)</f>
        <v>0</v>
      </c>
      <c r="C141" s="10">
        <f t="shared" si="20"/>
        <v>0</v>
      </c>
      <c r="D141" s="10">
        <f t="shared" ref="D141:H141" si="21">(D124*100)</f>
        <v>0</v>
      </c>
      <c r="E141" s="10">
        <f t="shared" si="21"/>
        <v>0</v>
      </c>
      <c r="F141" s="10">
        <f t="shared" si="21"/>
        <v>0</v>
      </c>
      <c r="G141" s="10">
        <f t="shared" si="21"/>
        <v>0</v>
      </c>
      <c r="H141" s="10">
        <f t="shared" si="21"/>
        <v>0</v>
      </c>
    </row>
    <row r="142" spans="1:8" x14ac:dyDescent="0.35">
      <c r="A142" t="s">
        <v>521</v>
      </c>
      <c r="B142" s="10">
        <f t="shared" si="20"/>
        <v>0</v>
      </c>
      <c r="C142" s="10">
        <f t="shared" si="20"/>
        <v>0</v>
      </c>
      <c r="D142" s="10">
        <f t="shared" ref="D142:H142" si="22">(D125*100)</f>
        <v>0</v>
      </c>
      <c r="E142" s="10">
        <f t="shared" si="22"/>
        <v>0</v>
      </c>
      <c r="F142" s="10">
        <f t="shared" si="22"/>
        <v>0</v>
      </c>
      <c r="G142" s="10">
        <f t="shared" si="22"/>
        <v>0</v>
      </c>
      <c r="H142" s="10">
        <f t="shared" si="22"/>
        <v>0</v>
      </c>
    </row>
    <row r="143" spans="1:8" x14ac:dyDescent="0.35">
      <c r="A143" t="s">
        <v>522</v>
      </c>
      <c r="B143" s="10">
        <f t="shared" si="20"/>
        <v>0</v>
      </c>
      <c r="C143" s="10">
        <f t="shared" si="20"/>
        <v>0</v>
      </c>
      <c r="D143" s="10">
        <f t="shared" ref="D143:H143" si="23">(D126*100)</f>
        <v>0</v>
      </c>
      <c r="E143" s="10">
        <f t="shared" si="23"/>
        <v>0</v>
      </c>
      <c r="F143" s="10">
        <f t="shared" si="23"/>
        <v>0</v>
      </c>
      <c r="G143" s="10">
        <f t="shared" si="23"/>
        <v>0</v>
      </c>
      <c r="H143" s="10">
        <f t="shared" si="23"/>
        <v>0</v>
      </c>
    </row>
    <row r="145" spans="1:10" x14ac:dyDescent="0.35">
      <c r="B145" s="10"/>
      <c r="C145" s="10"/>
    </row>
    <row r="146" spans="1:10" x14ac:dyDescent="0.35">
      <c r="B146" s="10"/>
      <c r="C146" s="10"/>
      <c r="D146" s="10"/>
    </row>
    <row r="147" spans="1:10" ht="17.5" x14ac:dyDescent="0.35">
      <c r="A147" s="477" t="s">
        <v>579</v>
      </c>
      <c r="B147" s="477"/>
      <c r="C147" s="477"/>
      <c r="D147" s="477"/>
      <c r="E147" s="477"/>
      <c r="F147" s="477"/>
      <c r="G147" s="477"/>
      <c r="H147" s="477"/>
      <c r="I147" s="477"/>
      <c r="J147" s="477"/>
    </row>
    <row r="148" spans="1:10" x14ac:dyDescent="0.35">
      <c r="A148" s="84"/>
      <c r="B148" s="84"/>
      <c r="C148" s="84"/>
      <c r="D148" s="84"/>
      <c r="E148" s="84"/>
      <c r="F148" s="84"/>
      <c r="G148" s="84"/>
      <c r="H148" s="84"/>
    </row>
    <row r="149" spans="1:10" x14ac:dyDescent="0.35">
      <c r="A149" s="85"/>
      <c r="B149" s="85"/>
      <c r="C149" s="85"/>
      <c r="D149" s="37">
        <v>1</v>
      </c>
      <c r="E149" s="38">
        <f>(D149*5%)+D149</f>
        <v>1.05</v>
      </c>
      <c r="F149" s="38">
        <f t="shared" ref="F149:J149" si="24">(E149*5%)+E149</f>
        <v>1.1025</v>
      </c>
      <c r="G149" s="38">
        <f t="shared" si="24"/>
        <v>1.1576250000000001</v>
      </c>
      <c r="H149" s="38">
        <f t="shared" si="24"/>
        <v>1.2155062500000002</v>
      </c>
      <c r="I149" s="38">
        <f t="shared" si="24"/>
        <v>1.2762815625000004</v>
      </c>
      <c r="J149" s="38">
        <f t="shared" si="24"/>
        <v>1.3400956406250004</v>
      </c>
    </row>
    <row r="150" spans="1:10" x14ac:dyDescent="0.35">
      <c r="A150" s="19"/>
      <c r="B150" s="19"/>
      <c r="C150" s="19"/>
      <c r="D150" s="19"/>
      <c r="E150" s="19"/>
      <c r="F150" s="19"/>
      <c r="G150" s="19"/>
      <c r="H150" s="19"/>
      <c r="I150" s="19"/>
      <c r="J150" s="19"/>
    </row>
    <row r="151" spans="1:10" x14ac:dyDescent="0.35">
      <c r="A151" s="30" t="s">
        <v>0</v>
      </c>
      <c r="B151" s="30" t="s">
        <v>131</v>
      </c>
      <c r="C151" s="30" t="s">
        <v>149</v>
      </c>
      <c r="D151" s="29" t="s">
        <v>2</v>
      </c>
      <c r="E151" s="29" t="s">
        <v>3</v>
      </c>
      <c r="F151" s="29" t="s">
        <v>4</v>
      </c>
      <c r="G151" s="29" t="s">
        <v>5</v>
      </c>
      <c r="H151" s="29" t="s">
        <v>6</v>
      </c>
      <c r="I151" s="29" t="s">
        <v>165</v>
      </c>
      <c r="J151" s="29" t="s">
        <v>164</v>
      </c>
    </row>
    <row r="152" spans="1:10" x14ac:dyDescent="0.35">
      <c r="A152" s="20"/>
      <c r="B152" s="20"/>
      <c r="C152" s="20"/>
      <c r="D152" s="20"/>
      <c r="E152" s="20"/>
      <c r="F152" s="20"/>
      <c r="G152" s="20"/>
      <c r="H152" s="20"/>
      <c r="I152" s="20"/>
      <c r="J152" s="20"/>
    </row>
    <row r="153" spans="1:10" x14ac:dyDescent="0.35">
      <c r="A153" s="22" t="s">
        <v>126</v>
      </c>
      <c r="B153" s="22"/>
      <c r="C153" s="22"/>
      <c r="D153" s="26"/>
      <c r="E153" s="26"/>
      <c r="F153" s="26"/>
      <c r="G153" s="26"/>
      <c r="H153" s="26"/>
      <c r="I153" s="20"/>
      <c r="J153" s="20"/>
    </row>
    <row r="154" spans="1:10" x14ac:dyDescent="0.35">
      <c r="A154" s="20" t="str">
        <f>A124</f>
        <v>Pomegranate Arils</v>
      </c>
      <c r="B154" s="46" t="s">
        <v>519</v>
      </c>
      <c r="C154" s="46">
        <v>150</v>
      </c>
      <c r="D154" s="21">
        <f>(B141*(1-'5.Closing Stock &amp; W Capital'!$D$17)*$C154*D$149)</f>
        <v>0</v>
      </c>
      <c r="E154" s="21">
        <f>(((C141*(1-'5.Closing Stock &amp; W Capital'!$D$17))+(B141*'5.Closing Stock &amp; W Capital'!$D$17))*$C154*E$149)</f>
        <v>0</v>
      </c>
      <c r="F154" s="21">
        <f>(((D141*(1-'5.Closing Stock &amp; W Capital'!$D$17))+(C141*'5.Closing Stock &amp; W Capital'!$D$17))*$C154*F$149)</f>
        <v>0</v>
      </c>
      <c r="G154" s="21">
        <f>(((E141*(1-'5.Closing Stock &amp; W Capital'!$D$17))+(D141*'5.Closing Stock &amp; W Capital'!$D$17))*$C154*G$149)</f>
        <v>0</v>
      </c>
      <c r="H154" s="21">
        <f>(((F141*(1-'5.Closing Stock &amp; W Capital'!$D$17))+(E141*'5.Closing Stock &amp; W Capital'!$D$17))*$C154*H$149)</f>
        <v>0</v>
      </c>
      <c r="I154" s="21">
        <f>(((G141*(1-'5.Closing Stock &amp; W Capital'!$D$17))+(F141*'5.Closing Stock &amp; W Capital'!$D$17))*$C154*I$149)</f>
        <v>0</v>
      </c>
      <c r="J154" s="21">
        <f>(((H141*(1-'5.Closing Stock &amp; W Capital'!$D$17))+(G141*'5.Closing Stock &amp; W Capital'!$D$17))*$C154*J$149)</f>
        <v>0</v>
      </c>
    </row>
    <row r="155" spans="1:10" x14ac:dyDescent="0.35">
      <c r="A155" s="20" t="str">
        <f>A125</f>
        <v>Pomegranate Juice</v>
      </c>
      <c r="B155" s="46" t="s">
        <v>518</v>
      </c>
      <c r="C155" s="46">
        <v>40</v>
      </c>
      <c r="D155" s="21">
        <f>(B142*(1-'5.Closing Stock &amp; W Capital'!$D$17)*$C155*D$149)</f>
        <v>0</v>
      </c>
      <c r="E155" s="21">
        <f>(((C142*(1-'5.Closing Stock &amp; W Capital'!$D$17))+(B142*'5.Closing Stock &amp; W Capital'!$D$17))*$C155*E$149)</f>
        <v>0</v>
      </c>
      <c r="F155" s="21">
        <f>(((D142*(1-'5.Closing Stock &amp; W Capital'!$D$17))+(C142*'5.Closing Stock &amp; W Capital'!$D$17))*$C155*F$149)</f>
        <v>0</v>
      </c>
      <c r="G155" s="21">
        <f>(((E142*(1-'5.Closing Stock &amp; W Capital'!$D$17))+(D142*'5.Closing Stock &amp; W Capital'!$D$17))*$C155*G$149)</f>
        <v>0</v>
      </c>
      <c r="H155" s="21">
        <f>(((F142*(1-'5.Closing Stock &amp; W Capital'!$D$17))+(E142*'5.Closing Stock &amp; W Capital'!$D$17))*$C155*H$149)</f>
        <v>0</v>
      </c>
      <c r="I155" s="21">
        <f>(((G142*(1-'5.Closing Stock &amp; W Capital'!$D$17))+(F142*'5.Closing Stock &amp; W Capital'!$D$17))*$C155*I$149)</f>
        <v>0</v>
      </c>
      <c r="J155" s="21">
        <f>(((H142*(1-'5.Closing Stock &amp; W Capital'!$D$17))+(G142*'5.Closing Stock &amp; W Capital'!$D$17))*$C155*J$149)</f>
        <v>0</v>
      </c>
    </row>
    <row r="156" spans="1:10" x14ac:dyDescent="0.35">
      <c r="A156" s="20" t="str">
        <f>A126</f>
        <v>Pomegranate Powder</v>
      </c>
      <c r="B156" s="46" t="s">
        <v>354</v>
      </c>
      <c r="C156" s="46">
        <v>50</v>
      </c>
      <c r="D156" s="21">
        <f>(B143*(1-'5.Closing Stock &amp; W Capital'!$D$17)*$C156*D$149)</f>
        <v>0</v>
      </c>
      <c r="E156" s="21">
        <f>(((C143*(1-'5.Closing Stock &amp; W Capital'!$D$17))+(B143*'5.Closing Stock &amp; W Capital'!$D$17))*$C156*E$149)</f>
        <v>0</v>
      </c>
      <c r="F156" s="21">
        <f>(((D143*(1-'5.Closing Stock &amp; W Capital'!$D$17))+(C143*'5.Closing Stock &amp; W Capital'!$D$17))*$C156*F$149)</f>
        <v>0</v>
      </c>
      <c r="G156" s="21">
        <f>(((E143*(1-'5.Closing Stock &amp; W Capital'!$D$17))+(D143*'5.Closing Stock &amp; W Capital'!$D$17))*$C156*G$149)</f>
        <v>0</v>
      </c>
      <c r="H156" s="21">
        <f>(((F143*(1-'5.Closing Stock &amp; W Capital'!$D$17))+(E143*'5.Closing Stock &amp; W Capital'!$D$17))*$C156*H$149)</f>
        <v>0</v>
      </c>
      <c r="I156" s="21">
        <f>(((G143*(1-'5.Closing Stock &amp; W Capital'!$D$17))+(F143*'5.Closing Stock &amp; W Capital'!$D$17))*$C156*I$149)</f>
        <v>0</v>
      </c>
      <c r="J156" s="21">
        <f>(((H143*(1-'5.Closing Stock &amp; W Capital'!$D$17))+(G143*'5.Closing Stock &amp; W Capital'!$D$17))*$C156*J$149)</f>
        <v>0</v>
      </c>
    </row>
    <row r="157" spans="1:10" x14ac:dyDescent="0.35">
      <c r="A157" s="20"/>
      <c r="B157" s="46"/>
      <c r="C157" s="46"/>
      <c r="D157" s="21"/>
      <c r="E157" s="21"/>
      <c r="F157" s="21"/>
      <c r="G157" s="21"/>
      <c r="H157" s="21"/>
      <c r="I157" s="21"/>
      <c r="J157" s="21"/>
    </row>
    <row r="158" spans="1:10" x14ac:dyDescent="0.35">
      <c r="A158" s="20"/>
      <c r="B158" s="20"/>
      <c r="C158" s="20"/>
      <c r="D158" s="21"/>
      <c r="E158" s="21"/>
      <c r="F158" s="21"/>
      <c r="G158" s="21"/>
      <c r="H158" s="21"/>
      <c r="I158" s="21"/>
      <c r="J158" s="21"/>
    </row>
    <row r="159" spans="1:10" x14ac:dyDescent="0.35">
      <c r="A159" s="22" t="s">
        <v>126</v>
      </c>
      <c r="B159" s="22"/>
      <c r="C159" s="22"/>
      <c r="D159" s="27">
        <f t="shared" ref="D159:J159" si="25">SUM(D154:D157)</f>
        <v>0</v>
      </c>
      <c r="E159" s="27">
        <f t="shared" si="25"/>
        <v>0</v>
      </c>
      <c r="F159" s="27">
        <f t="shared" si="25"/>
        <v>0</v>
      </c>
      <c r="G159" s="27">
        <f t="shared" si="25"/>
        <v>0</v>
      </c>
      <c r="H159" s="27">
        <f t="shared" si="25"/>
        <v>0</v>
      </c>
      <c r="I159" s="27">
        <f t="shared" si="25"/>
        <v>0</v>
      </c>
      <c r="J159" s="27">
        <f t="shared" si="25"/>
        <v>0</v>
      </c>
    </row>
    <row r="160" spans="1:10" x14ac:dyDescent="0.35">
      <c r="A160" s="20"/>
      <c r="B160" s="20"/>
      <c r="C160" s="20"/>
      <c r="D160" s="21"/>
      <c r="E160" s="21"/>
      <c r="F160" s="21"/>
      <c r="G160" s="21"/>
      <c r="H160" s="21"/>
      <c r="I160" s="21"/>
      <c r="J160" s="21"/>
    </row>
    <row r="161" spans="1:10" x14ac:dyDescent="0.35">
      <c r="A161" s="22" t="s">
        <v>140</v>
      </c>
      <c r="B161" s="22"/>
      <c r="C161" s="22"/>
      <c r="D161" s="21"/>
      <c r="E161" s="21"/>
      <c r="F161" s="21"/>
      <c r="G161" s="21"/>
      <c r="H161" s="21"/>
      <c r="I161" s="21"/>
      <c r="J161" s="21"/>
    </row>
    <row r="162" spans="1:10" x14ac:dyDescent="0.35">
      <c r="A162" s="22" t="s">
        <v>310</v>
      </c>
      <c r="B162" s="22"/>
      <c r="C162" s="20"/>
      <c r="D162" s="21"/>
      <c r="E162" s="21"/>
      <c r="F162" s="21"/>
      <c r="G162" s="21"/>
      <c r="H162" s="21"/>
      <c r="I162" s="21"/>
      <c r="J162" s="21"/>
    </row>
    <row r="163" spans="1:10" x14ac:dyDescent="0.35">
      <c r="A163" s="23" t="s">
        <v>523</v>
      </c>
      <c r="B163" s="46" t="s">
        <v>355</v>
      </c>
      <c r="C163" s="49">
        <v>0</v>
      </c>
      <c r="D163" s="21">
        <f>B62*$C163*D$149</f>
        <v>0</v>
      </c>
      <c r="E163" s="21">
        <f>C62*$C163*E$149</f>
        <v>0</v>
      </c>
      <c r="F163" s="21">
        <f t="shared" ref="F163:J163" si="26">D62*$C163*F$149</f>
        <v>0</v>
      </c>
      <c r="G163" s="21">
        <f t="shared" si="26"/>
        <v>0</v>
      </c>
      <c r="H163" s="21">
        <f t="shared" si="26"/>
        <v>0</v>
      </c>
      <c r="I163" s="21">
        <f t="shared" si="26"/>
        <v>0</v>
      </c>
      <c r="J163" s="21">
        <f t="shared" si="26"/>
        <v>0</v>
      </c>
    </row>
    <row r="164" spans="1:10" x14ac:dyDescent="0.35">
      <c r="A164" s="20" t="s">
        <v>524</v>
      </c>
      <c r="B164" s="46" t="s">
        <v>355</v>
      </c>
      <c r="C164" s="46">
        <v>0</v>
      </c>
      <c r="D164" s="21">
        <f>(B62*10%)*$C164*D$149</f>
        <v>0</v>
      </c>
      <c r="E164" s="21">
        <f t="shared" ref="E164:J164" si="27">(C62*10%)*$C164*E$149</f>
        <v>0</v>
      </c>
      <c r="F164" s="21">
        <f t="shared" si="27"/>
        <v>0</v>
      </c>
      <c r="G164" s="21">
        <f t="shared" si="27"/>
        <v>0</v>
      </c>
      <c r="H164" s="21">
        <f t="shared" si="27"/>
        <v>0</v>
      </c>
      <c r="I164" s="21">
        <f t="shared" si="27"/>
        <v>0</v>
      </c>
      <c r="J164" s="21">
        <f t="shared" si="27"/>
        <v>0</v>
      </c>
    </row>
    <row r="165" spans="1:10" x14ac:dyDescent="0.35">
      <c r="A165" s="20" t="s">
        <v>316</v>
      </c>
      <c r="B165" s="46">
        <v>5</v>
      </c>
      <c r="C165" s="46">
        <v>0</v>
      </c>
      <c r="D165" s="21">
        <f t="shared" ref="D165:J165" si="28">B12*$B$165*$C$165*D149</f>
        <v>0</v>
      </c>
      <c r="E165" s="21">
        <f t="shared" si="28"/>
        <v>0</v>
      </c>
      <c r="F165" s="21">
        <f t="shared" si="28"/>
        <v>0</v>
      </c>
      <c r="G165" s="21">
        <f t="shared" si="28"/>
        <v>0</v>
      </c>
      <c r="H165" s="21">
        <f t="shared" si="28"/>
        <v>0</v>
      </c>
      <c r="I165" s="21">
        <f t="shared" si="28"/>
        <v>0</v>
      </c>
      <c r="J165" s="21">
        <f t="shared" si="28"/>
        <v>0</v>
      </c>
    </row>
    <row r="166" spans="1:10" x14ac:dyDescent="0.35">
      <c r="A166" s="20" t="s">
        <v>142</v>
      </c>
      <c r="B166" s="20">
        <f>'2.Capex Details'!H73*0.746*8</f>
        <v>0</v>
      </c>
      <c r="C166" s="46">
        <v>0</v>
      </c>
      <c r="D166" s="21">
        <f t="shared" ref="D166:J166" si="29">$B$166*$C$166*B12*D149</f>
        <v>0</v>
      </c>
      <c r="E166" s="21">
        <f t="shared" si="29"/>
        <v>0</v>
      </c>
      <c r="F166" s="21">
        <f t="shared" si="29"/>
        <v>0</v>
      </c>
      <c r="G166" s="21">
        <f t="shared" si="29"/>
        <v>0</v>
      </c>
      <c r="H166" s="21">
        <f t="shared" si="29"/>
        <v>0</v>
      </c>
      <c r="I166" s="21">
        <f t="shared" si="29"/>
        <v>0</v>
      </c>
      <c r="J166" s="21">
        <f t="shared" si="29"/>
        <v>0</v>
      </c>
    </row>
    <row r="167" spans="1:10" x14ac:dyDescent="0.35">
      <c r="A167" s="20" t="s">
        <v>293</v>
      </c>
      <c r="B167" s="20" t="s">
        <v>355</v>
      </c>
      <c r="C167" s="46">
        <v>0</v>
      </c>
      <c r="D167" s="21">
        <f>B62*$C167*D$149</f>
        <v>0</v>
      </c>
      <c r="E167" s="21">
        <f t="shared" ref="E167:J167" si="30">C62*$C167*E$149</f>
        <v>0</v>
      </c>
      <c r="F167" s="21">
        <f t="shared" si="30"/>
        <v>0</v>
      </c>
      <c r="G167" s="21">
        <f t="shared" si="30"/>
        <v>0</v>
      </c>
      <c r="H167" s="21">
        <f t="shared" si="30"/>
        <v>0</v>
      </c>
      <c r="I167" s="21">
        <f t="shared" si="30"/>
        <v>0</v>
      </c>
      <c r="J167" s="21">
        <f t="shared" si="30"/>
        <v>0</v>
      </c>
    </row>
    <row r="168" spans="1:10" x14ac:dyDescent="0.35">
      <c r="A168" s="25" t="s">
        <v>294</v>
      </c>
      <c r="B168" s="25"/>
      <c r="C168" s="50">
        <v>0</v>
      </c>
      <c r="D168" s="21">
        <f>SUM(B141:B143)*$C$168*D$149</f>
        <v>0</v>
      </c>
      <c r="E168" s="21">
        <f t="shared" ref="E168:J168" si="31">SUM(C141:C143)*$C$168*E$149</f>
        <v>0</v>
      </c>
      <c r="F168" s="21">
        <f t="shared" si="31"/>
        <v>0</v>
      </c>
      <c r="G168" s="21">
        <f t="shared" si="31"/>
        <v>0</v>
      </c>
      <c r="H168" s="21">
        <f t="shared" si="31"/>
        <v>0</v>
      </c>
      <c r="I168" s="21">
        <f t="shared" si="31"/>
        <v>0</v>
      </c>
      <c r="J168" s="21">
        <f t="shared" si="31"/>
        <v>0</v>
      </c>
    </row>
    <row r="169" spans="1:10" x14ac:dyDescent="0.35">
      <c r="A169" s="20" t="s">
        <v>295</v>
      </c>
      <c r="B169" s="20"/>
      <c r="C169" s="46">
        <v>0</v>
      </c>
      <c r="D169" s="21">
        <f>SUM(B141:B143)*$C$169*D$149</f>
        <v>0</v>
      </c>
      <c r="E169" s="21">
        <f t="shared" ref="E169:J169" si="32">SUM(C141:C143)*$C$169*E$149</f>
        <v>0</v>
      </c>
      <c r="F169" s="21">
        <f t="shared" si="32"/>
        <v>0</v>
      </c>
      <c r="G169" s="21">
        <f t="shared" si="32"/>
        <v>0</v>
      </c>
      <c r="H169" s="21">
        <f t="shared" si="32"/>
        <v>0</v>
      </c>
      <c r="I169" s="21">
        <f t="shared" si="32"/>
        <v>0</v>
      </c>
      <c r="J169" s="21">
        <f t="shared" si="32"/>
        <v>0</v>
      </c>
    </row>
    <row r="170" spans="1:10" x14ac:dyDescent="0.35">
      <c r="A170" s="5"/>
      <c r="B170" s="5"/>
      <c r="C170" s="5"/>
      <c r="D170" s="5"/>
      <c r="E170" s="5"/>
      <c r="F170" s="5"/>
      <c r="G170" s="5"/>
      <c r="H170" s="5"/>
      <c r="I170" s="5"/>
      <c r="J170" s="5"/>
    </row>
    <row r="171" spans="1:10" x14ac:dyDescent="0.35">
      <c r="A171" s="5"/>
      <c r="B171" s="5"/>
      <c r="C171" s="5"/>
      <c r="D171" s="5"/>
      <c r="E171" s="5"/>
      <c r="F171" s="5"/>
      <c r="G171" s="5"/>
      <c r="H171" s="5"/>
      <c r="I171" s="5"/>
      <c r="J171" s="5"/>
    </row>
    <row r="172" spans="1:10" x14ac:dyDescent="0.35">
      <c r="A172" s="5"/>
      <c r="B172" s="5"/>
      <c r="C172" s="5"/>
      <c r="D172" s="5"/>
      <c r="E172" s="5"/>
      <c r="F172" s="5"/>
      <c r="G172" s="5"/>
      <c r="H172" s="5"/>
      <c r="I172" s="5"/>
      <c r="J172" s="5"/>
    </row>
    <row r="173" spans="1:10" x14ac:dyDescent="0.35">
      <c r="A173" s="5"/>
      <c r="B173" s="5"/>
      <c r="C173" s="5"/>
      <c r="D173" s="5"/>
      <c r="E173" s="5"/>
      <c r="F173" s="5"/>
      <c r="G173" s="5"/>
      <c r="H173" s="5"/>
      <c r="I173" s="5"/>
      <c r="J173" s="5"/>
    </row>
    <row r="174" spans="1:10" x14ac:dyDescent="0.35">
      <c r="A174" s="39" t="s">
        <v>338</v>
      </c>
      <c r="B174" s="21"/>
      <c r="C174" s="21"/>
      <c r="D174" s="21"/>
      <c r="E174" s="21">
        <v>0</v>
      </c>
      <c r="F174" s="21">
        <v>0</v>
      </c>
      <c r="G174" s="21">
        <v>0</v>
      </c>
      <c r="H174" s="21">
        <v>0</v>
      </c>
      <c r="I174" s="21">
        <v>0</v>
      </c>
      <c r="J174" s="21">
        <v>0</v>
      </c>
    </row>
    <row r="175" spans="1:10" x14ac:dyDescent="0.35">
      <c r="A175" s="39" t="s">
        <v>339</v>
      </c>
      <c r="B175" s="21"/>
      <c r="C175" s="21"/>
      <c r="D175" s="21">
        <v>0</v>
      </c>
      <c r="E175" s="21">
        <v>0</v>
      </c>
      <c r="F175" s="21">
        <v>0</v>
      </c>
      <c r="G175" s="21">
        <v>0</v>
      </c>
      <c r="H175" s="21">
        <v>0</v>
      </c>
      <c r="I175" s="21">
        <v>0</v>
      </c>
      <c r="J175" s="21">
        <v>0</v>
      </c>
    </row>
    <row r="176" spans="1:10" x14ac:dyDescent="0.35">
      <c r="A176" s="21"/>
      <c r="B176" s="21"/>
      <c r="C176" s="21"/>
      <c r="D176" s="21"/>
      <c r="E176" s="21"/>
      <c r="F176" s="21"/>
      <c r="G176" s="21"/>
      <c r="H176" s="21"/>
      <c r="I176" s="21"/>
      <c r="J176" s="21"/>
    </row>
    <row r="177" spans="1:10" x14ac:dyDescent="0.35">
      <c r="A177" s="27" t="s">
        <v>317</v>
      </c>
      <c r="B177" s="21"/>
      <c r="C177" s="21"/>
      <c r="D177" s="27">
        <f t="shared" ref="D177:J177" si="33">SUM(D163:D174)-D175</f>
        <v>0</v>
      </c>
      <c r="E177" s="27">
        <f t="shared" si="33"/>
        <v>0</v>
      </c>
      <c r="F177" s="27">
        <f t="shared" si="33"/>
        <v>0</v>
      </c>
      <c r="G177" s="27">
        <f t="shared" si="33"/>
        <v>0</v>
      </c>
      <c r="H177" s="27">
        <f t="shared" si="33"/>
        <v>0</v>
      </c>
      <c r="I177" s="27">
        <f t="shared" si="33"/>
        <v>0</v>
      </c>
      <c r="J177" s="27">
        <f t="shared" si="33"/>
        <v>0</v>
      </c>
    </row>
    <row r="178" spans="1:10" x14ac:dyDescent="0.35">
      <c r="A178" s="19"/>
      <c r="B178" s="19"/>
      <c r="C178" s="19"/>
      <c r="D178" s="19"/>
      <c r="E178" s="19"/>
      <c r="F178" s="19"/>
      <c r="G178" s="19"/>
      <c r="H178" s="19"/>
      <c r="I178" s="19"/>
      <c r="J178" s="19"/>
    </row>
    <row r="179" spans="1:10" x14ac:dyDescent="0.35">
      <c r="A179" s="40" t="s">
        <v>308</v>
      </c>
      <c r="B179" s="40"/>
      <c r="C179" s="40"/>
      <c r="D179" s="27"/>
      <c r="E179" s="27"/>
      <c r="F179" s="27"/>
      <c r="G179" s="27"/>
      <c r="H179" s="27"/>
      <c r="I179" s="27"/>
      <c r="J179" s="27"/>
    </row>
    <row r="180" spans="1:10" x14ac:dyDescent="0.35">
      <c r="A180" s="20" t="s">
        <v>184</v>
      </c>
      <c r="B180" s="46">
        <v>1</v>
      </c>
      <c r="C180" s="49"/>
      <c r="D180" s="21">
        <f t="shared" ref="D180:J180" si="34">$B$180*$C$180*12*D149</f>
        <v>0</v>
      </c>
      <c r="E180" s="21">
        <f t="shared" si="34"/>
        <v>0</v>
      </c>
      <c r="F180" s="21">
        <f t="shared" si="34"/>
        <v>0</v>
      </c>
      <c r="G180" s="21">
        <f t="shared" si="34"/>
        <v>0</v>
      </c>
      <c r="H180" s="21">
        <f t="shared" si="34"/>
        <v>0</v>
      </c>
      <c r="I180" s="21">
        <f t="shared" si="34"/>
        <v>0</v>
      </c>
      <c r="J180" s="21">
        <f t="shared" si="34"/>
        <v>0</v>
      </c>
    </row>
    <row r="181" spans="1:10" x14ac:dyDescent="0.35">
      <c r="A181" s="20" t="s">
        <v>189</v>
      </c>
      <c r="B181" s="46">
        <v>2</v>
      </c>
      <c r="C181" s="49"/>
      <c r="D181" s="21">
        <f t="shared" ref="D181:J181" si="35">$B$181*$C$181*12*D149</f>
        <v>0</v>
      </c>
      <c r="E181" s="21">
        <f t="shared" si="35"/>
        <v>0</v>
      </c>
      <c r="F181" s="21">
        <f t="shared" si="35"/>
        <v>0</v>
      </c>
      <c r="G181" s="21">
        <f t="shared" si="35"/>
        <v>0</v>
      </c>
      <c r="H181" s="21">
        <f t="shared" si="35"/>
        <v>0</v>
      </c>
      <c r="I181" s="21">
        <f t="shared" si="35"/>
        <v>0</v>
      </c>
      <c r="J181" s="21">
        <f t="shared" si="35"/>
        <v>0</v>
      </c>
    </row>
    <row r="182" spans="1:10" x14ac:dyDescent="0.35">
      <c r="A182" s="20"/>
      <c r="B182" s="46"/>
      <c r="C182" s="49"/>
      <c r="D182" s="21"/>
      <c r="E182" s="21"/>
      <c r="F182" s="21"/>
      <c r="G182" s="21"/>
      <c r="H182" s="21"/>
      <c r="I182" s="21"/>
      <c r="J182" s="21"/>
    </row>
    <row r="183" spans="1:10" x14ac:dyDescent="0.35">
      <c r="A183" s="20"/>
      <c r="B183" s="46"/>
      <c r="C183" s="49"/>
      <c r="D183" s="21"/>
      <c r="E183" s="21"/>
      <c r="F183" s="21"/>
      <c r="G183" s="21"/>
      <c r="H183" s="21"/>
      <c r="I183" s="21"/>
      <c r="J183" s="21"/>
    </row>
    <row r="184" spans="1:10" x14ac:dyDescent="0.35">
      <c r="A184" s="20"/>
      <c r="B184" s="46"/>
      <c r="C184" s="49"/>
      <c r="D184" s="21"/>
      <c r="E184" s="21"/>
      <c r="F184" s="21"/>
      <c r="G184" s="21"/>
      <c r="H184" s="21"/>
      <c r="I184" s="21"/>
      <c r="J184" s="21"/>
    </row>
    <row r="185" spans="1:10" x14ac:dyDescent="0.35">
      <c r="A185" s="22" t="s">
        <v>308</v>
      </c>
      <c r="B185" s="22"/>
      <c r="C185" s="22"/>
      <c r="D185" s="27">
        <f>SUM(D180:D184)</f>
        <v>0</v>
      </c>
      <c r="E185" s="27">
        <f t="shared" ref="E185:J185" si="36">SUM(E180:E184)</f>
        <v>0</v>
      </c>
      <c r="F185" s="27">
        <f t="shared" si="36"/>
        <v>0</v>
      </c>
      <c r="G185" s="27">
        <f t="shared" si="36"/>
        <v>0</v>
      </c>
      <c r="H185" s="27">
        <f t="shared" si="36"/>
        <v>0</v>
      </c>
      <c r="I185" s="27">
        <f t="shared" si="36"/>
        <v>0</v>
      </c>
      <c r="J185" s="27">
        <f t="shared" si="36"/>
        <v>0</v>
      </c>
    </row>
    <row r="186" spans="1:10" x14ac:dyDescent="0.35">
      <c r="A186" s="40" t="s">
        <v>296</v>
      </c>
      <c r="B186" s="40"/>
      <c r="C186" s="40"/>
      <c r="D186" s="27">
        <f>D177+D185</f>
        <v>0</v>
      </c>
      <c r="E186" s="27">
        <f t="shared" ref="E186:J186" si="37">E177+E185</f>
        <v>0</v>
      </c>
      <c r="F186" s="27">
        <f t="shared" si="37"/>
        <v>0</v>
      </c>
      <c r="G186" s="27">
        <f t="shared" si="37"/>
        <v>0</v>
      </c>
      <c r="H186" s="27">
        <f t="shared" si="37"/>
        <v>0</v>
      </c>
      <c r="I186" s="27">
        <f t="shared" si="37"/>
        <v>0</v>
      </c>
      <c r="J186" s="27">
        <f t="shared" si="37"/>
        <v>0</v>
      </c>
    </row>
    <row r="187" spans="1:10" x14ac:dyDescent="0.35">
      <c r="A187" s="20"/>
      <c r="B187" s="20"/>
      <c r="C187" s="20"/>
      <c r="D187" s="21"/>
      <c r="E187" s="21"/>
      <c r="F187" s="21"/>
      <c r="G187" s="21"/>
      <c r="H187" s="21"/>
      <c r="I187" s="21"/>
      <c r="J187" s="21"/>
    </row>
    <row r="188" spans="1:10" x14ac:dyDescent="0.35">
      <c r="A188" s="22" t="s">
        <v>7</v>
      </c>
      <c r="B188" s="22"/>
      <c r="C188" s="22"/>
      <c r="D188" s="27">
        <f t="shared" ref="D188:J188" si="38">D159-D186</f>
        <v>0</v>
      </c>
      <c r="E188" s="27">
        <f t="shared" si="38"/>
        <v>0</v>
      </c>
      <c r="F188" s="27">
        <f t="shared" si="38"/>
        <v>0</v>
      </c>
      <c r="G188" s="27">
        <f t="shared" si="38"/>
        <v>0</v>
      </c>
      <c r="H188" s="27">
        <f t="shared" si="38"/>
        <v>0</v>
      </c>
      <c r="I188" s="27">
        <f t="shared" si="38"/>
        <v>0</v>
      </c>
      <c r="J188" s="27">
        <f t="shared" si="38"/>
        <v>0</v>
      </c>
    </row>
    <row r="189" spans="1:10" x14ac:dyDescent="0.35">
      <c r="A189" s="28"/>
      <c r="B189" s="28"/>
      <c r="C189" s="28"/>
      <c r="D189" s="19"/>
      <c r="E189" s="19"/>
      <c r="F189" s="19"/>
      <c r="G189" s="19"/>
      <c r="H189" s="19"/>
      <c r="I189" s="19"/>
      <c r="J189" s="19"/>
    </row>
    <row r="190" spans="1:10" x14ac:dyDescent="0.35">
      <c r="A190" s="19"/>
      <c r="B190" s="19"/>
      <c r="C190" s="19"/>
      <c r="D190" s="19"/>
      <c r="E190" s="19"/>
      <c r="F190" s="19"/>
      <c r="G190" s="19"/>
      <c r="H190" s="19"/>
      <c r="I190" s="19"/>
      <c r="J190" s="19"/>
    </row>
    <row r="191" spans="1:10" x14ac:dyDescent="0.35">
      <c r="A191" s="19"/>
      <c r="B191" s="19"/>
      <c r="C191" s="19"/>
      <c r="D191" s="19"/>
      <c r="E191" s="19"/>
      <c r="F191" s="19"/>
      <c r="G191" s="19"/>
      <c r="H191" s="19"/>
      <c r="I191" s="19"/>
      <c r="J191" s="19"/>
    </row>
    <row r="192" spans="1:10" x14ac:dyDescent="0.35">
      <c r="A192" s="496" t="s">
        <v>418</v>
      </c>
      <c r="B192" s="496"/>
      <c r="C192" s="496"/>
      <c r="D192" s="496"/>
      <c r="E192" s="496"/>
      <c r="F192" s="496"/>
      <c r="G192" s="496"/>
      <c r="H192" s="496"/>
      <c r="I192" s="496"/>
      <c r="J192" s="496"/>
    </row>
    <row r="194" spans="1:5" x14ac:dyDescent="0.35">
      <c r="A194" t="s">
        <v>531</v>
      </c>
    </row>
    <row r="195" spans="1:5" x14ac:dyDescent="0.35">
      <c r="A195">
        <v>1</v>
      </c>
      <c r="B195" t="s">
        <v>542</v>
      </c>
    </row>
    <row r="196" spans="1:5" x14ac:dyDescent="0.35">
      <c r="A196">
        <v>2</v>
      </c>
      <c r="B196" t="s">
        <v>543</v>
      </c>
      <c r="C196" s="16"/>
      <c r="D196" s="16"/>
      <c r="E196" s="16"/>
    </row>
    <row r="197" spans="1:5" x14ac:dyDescent="0.35">
      <c r="A197">
        <v>3</v>
      </c>
      <c r="B197" s="19" t="s">
        <v>582</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4"/>
  <sheetViews>
    <sheetView tabSelected="1" view="pageBreakPreview" topLeftCell="A29" zoomScaleSheetLayoutView="100" workbookViewId="0">
      <selection activeCell="D32" sqref="D32"/>
    </sheetView>
  </sheetViews>
  <sheetFormatPr defaultColWidth="8.7265625" defaultRowHeight="14.5" x14ac:dyDescent="0.35"/>
  <cols>
    <col min="1" max="1" width="8.7265625" style="107"/>
    <col min="2" max="2" width="7.54296875" style="107" bestFit="1" customWidth="1"/>
    <col min="3" max="3" width="35.453125" style="107" customWidth="1"/>
    <col min="4" max="4" width="16" style="107" customWidth="1"/>
    <col min="5" max="5" width="17.7265625" style="107" customWidth="1"/>
    <col min="6" max="6" width="17.81640625" style="107" customWidth="1"/>
    <col min="7" max="16384" width="8.7265625" style="107"/>
  </cols>
  <sheetData>
    <row r="2" spans="1:13" x14ac:dyDescent="0.35">
      <c r="B2" s="362" t="s">
        <v>692</v>
      </c>
    </row>
    <row r="3" spans="1:13" x14ac:dyDescent="0.35">
      <c r="B3" s="423" t="s">
        <v>693</v>
      </c>
      <c r="C3" s="423"/>
      <c r="D3" s="423"/>
      <c r="E3" s="423"/>
      <c r="F3" s="423"/>
    </row>
    <row r="4" spans="1:13" x14ac:dyDescent="0.35">
      <c r="B4" s="362" t="s">
        <v>703</v>
      </c>
    </row>
    <row r="5" spans="1:13" ht="29" x14ac:dyDescent="0.35">
      <c r="B5" s="13" t="s">
        <v>143</v>
      </c>
      <c r="C5" s="13" t="s">
        <v>127</v>
      </c>
      <c r="D5" s="13" t="s">
        <v>154</v>
      </c>
      <c r="E5" s="379" t="s">
        <v>463</v>
      </c>
      <c r="F5" s="379" t="s">
        <v>464</v>
      </c>
    </row>
    <row r="6" spans="1:13" x14ac:dyDescent="0.35">
      <c r="B6" s="329">
        <v>1</v>
      </c>
      <c r="C6" s="99" t="str">
        <f>'2.Capex Details'!B2</f>
        <v>Land, Building, Shed and Warehouse</v>
      </c>
      <c r="D6" s="380">
        <f>'2.Capex Details'!G12</f>
        <v>12863000</v>
      </c>
      <c r="E6" s="381">
        <v>0.6</v>
      </c>
      <c r="F6" s="199">
        <f>D6*E6</f>
        <v>7717800</v>
      </c>
    </row>
    <row r="7" spans="1:13" x14ac:dyDescent="0.35">
      <c r="B7" s="329">
        <v>2</v>
      </c>
      <c r="C7" s="99" t="str">
        <f>'2.Capex Details'!B17</f>
        <v>Machinery and Equipment</v>
      </c>
      <c r="D7" s="380">
        <f>'2.Capex Details'!G75</f>
        <v>3778250</v>
      </c>
      <c r="E7" s="381">
        <v>0.6</v>
      </c>
      <c r="F7" s="199">
        <f t="shared" ref="F7:F11" si="0">D7*E7</f>
        <v>2266950</v>
      </c>
    </row>
    <row r="8" spans="1:13" x14ac:dyDescent="0.35">
      <c r="B8" s="329">
        <v>3</v>
      </c>
      <c r="C8" s="99" t="str">
        <f>'2.Capex Details'!B81</f>
        <v>Furniture and Fixture</v>
      </c>
      <c r="D8" s="380">
        <f>'2.Capex Details'!F84</f>
        <v>751422</v>
      </c>
      <c r="E8" s="381">
        <v>0.6</v>
      </c>
      <c r="F8" s="199">
        <f t="shared" si="0"/>
        <v>450853.2</v>
      </c>
    </row>
    <row r="9" spans="1:13" x14ac:dyDescent="0.35">
      <c r="B9" s="329">
        <v>4</v>
      </c>
      <c r="C9" s="99" t="str">
        <f>'2.Capex Details'!B88</f>
        <v>IT &amp; It Infrastracture</v>
      </c>
      <c r="D9" s="380">
        <f>'2.Capex Details'!F100</f>
        <v>695211</v>
      </c>
      <c r="E9" s="381">
        <v>0.6</v>
      </c>
      <c r="F9" s="199">
        <f t="shared" si="0"/>
        <v>417126.6</v>
      </c>
    </row>
    <row r="10" spans="1:13" hidden="1" x14ac:dyDescent="0.35">
      <c r="B10" s="329">
        <v>5</v>
      </c>
      <c r="C10" s="99" t="str">
        <f>'2.Capex Details'!B105</f>
        <v>Transport vehical  (Refer van and other)</v>
      </c>
      <c r="D10" s="380">
        <f>'2.Capex Details'!F111</f>
        <v>0</v>
      </c>
      <c r="E10" s="381">
        <v>0.6</v>
      </c>
      <c r="F10" s="199">
        <f t="shared" si="0"/>
        <v>0</v>
      </c>
    </row>
    <row r="11" spans="1:13" x14ac:dyDescent="0.35">
      <c r="B11" s="329">
        <v>5</v>
      </c>
      <c r="C11" s="99" t="str">
        <f>'2.Capex Details'!B115</f>
        <v>Preliminary Expenses</v>
      </c>
      <c r="D11" s="380">
        <f>'2.Capex Details'!D123</f>
        <v>228600</v>
      </c>
      <c r="E11" s="381">
        <v>0.6</v>
      </c>
      <c r="F11" s="199">
        <f t="shared" si="0"/>
        <v>137160</v>
      </c>
      <c r="L11" s="107" t="s">
        <v>410</v>
      </c>
    </row>
    <row r="12" spans="1:13" x14ac:dyDescent="0.35">
      <c r="B12" s="329">
        <v>6</v>
      </c>
      <c r="C12" s="99" t="s">
        <v>152</v>
      </c>
      <c r="D12" s="380">
        <f>'5.Closing Stock &amp; W Capital'!E51</f>
        <v>454343.43419814203</v>
      </c>
      <c r="E12" s="112"/>
      <c r="F12" s="112"/>
    </row>
    <row r="13" spans="1:13" x14ac:dyDescent="0.35">
      <c r="B13" s="422" t="s">
        <v>1</v>
      </c>
      <c r="C13" s="422"/>
      <c r="D13" s="382">
        <f>SUM(D6:D12)</f>
        <v>18770826.434198141</v>
      </c>
      <c r="E13" s="112"/>
      <c r="F13" s="382">
        <f>SUM(F6:F12)</f>
        <v>10989889.799999999</v>
      </c>
    </row>
    <row r="14" spans="1:13" x14ac:dyDescent="0.35">
      <c r="D14" s="363"/>
      <c r="M14" s="107">
        <v>48</v>
      </c>
    </row>
    <row r="15" spans="1:13" ht="25.5" customHeight="1" x14ac:dyDescent="0.35">
      <c r="A15" s="424" t="s">
        <v>411</v>
      </c>
      <c r="B15" s="424"/>
      <c r="C15" s="424"/>
      <c r="D15" s="424"/>
      <c r="E15" s="424"/>
      <c r="F15" s="424"/>
      <c r="M15" s="107">
        <v>11.64</v>
      </c>
    </row>
    <row r="16" spans="1:13" x14ac:dyDescent="0.35">
      <c r="M16" s="107">
        <f>M14+M15</f>
        <v>59.64</v>
      </c>
    </row>
    <row r="17" spans="2:13" x14ac:dyDescent="0.35">
      <c r="B17" s="423" t="s">
        <v>694</v>
      </c>
      <c r="C17" s="423"/>
      <c r="D17" s="423"/>
      <c r="E17" s="423"/>
      <c r="F17" s="423"/>
      <c r="M17" s="107">
        <v>19.05</v>
      </c>
    </row>
    <row r="18" spans="2:13" x14ac:dyDescent="0.35">
      <c r="M18" s="107">
        <f>M16+M17</f>
        <v>78.69</v>
      </c>
    </row>
    <row r="19" spans="2:13" x14ac:dyDescent="0.35">
      <c r="B19" s="9" t="s">
        <v>143</v>
      </c>
      <c r="C19" s="13" t="s">
        <v>127</v>
      </c>
      <c r="D19" s="13" t="s">
        <v>627</v>
      </c>
      <c r="E19" s="13" t="s">
        <v>154</v>
      </c>
    </row>
    <row r="20" spans="2:13" x14ac:dyDescent="0.35">
      <c r="B20" s="329">
        <v>1</v>
      </c>
      <c r="C20" s="99" t="s">
        <v>328</v>
      </c>
      <c r="D20" s="383"/>
      <c r="E20" s="105">
        <f>F13</f>
        <v>10989889.799999999</v>
      </c>
    </row>
    <row r="21" spans="2:13" x14ac:dyDescent="0.35">
      <c r="B21" s="329">
        <v>2</v>
      </c>
      <c r="C21" s="99" t="s">
        <v>153</v>
      </c>
      <c r="D21" s="384">
        <v>0.35</v>
      </c>
      <c r="E21" s="105">
        <f>SUM(D6:D10)*D21</f>
        <v>6330759.0499999998</v>
      </c>
    </row>
    <row r="22" spans="2:13" x14ac:dyDescent="0.35">
      <c r="B22" s="329">
        <v>3</v>
      </c>
      <c r="C22" s="99" t="s">
        <v>133</v>
      </c>
      <c r="D22" s="105"/>
      <c r="E22" s="105">
        <f>D13-E20-E21</f>
        <v>1450177.5841981424</v>
      </c>
    </row>
    <row r="23" spans="2:13" x14ac:dyDescent="0.35">
      <c r="B23" s="422" t="s">
        <v>1</v>
      </c>
      <c r="C23" s="422"/>
      <c r="D23" s="8"/>
      <c r="E23" s="8">
        <f>SUM(E20:E22)</f>
        <v>18770826.434198141</v>
      </c>
    </row>
    <row r="25" spans="2:13" x14ac:dyDescent="0.35">
      <c r="B25" s="423" t="s">
        <v>412</v>
      </c>
      <c r="C25" s="423"/>
      <c r="D25" s="423"/>
      <c r="E25" s="423"/>
      <c r="F25" s="423"/>
    </row>
    <row r="27" spans="2:13" x14ac:dyDescent="0.35">
      <c r="B27" s="421" t="s">
        <v>701</v>
      </c>
      <c r="C27" s="421"/>
      <c r="D27" s="421"/>
      <c r="E27" s="421"/>
      <c r="F27" s="421"/>
    </row>
    <row r="28" spans="2:13" x14ac:dyDescent="0.35">
      <c r="B28" s="385" t="s">
        <v>143</v>
      </c>
      <c r="C28" s="386" t="s">
        <v>585</v>
      </c>
      <c r="D28" s="387" t="s">
        <v>586</v>
      </c>
      <c r="E28" s="388" t="s">
        <v>587</v>
      </c>
      <c r="F28" s="419" t="s">
        <v>588</v>
      </c>
      <c r="G28" s="420"/>
    </row>
    <row r="29" spans="2:13" ht="29" x14ac:dyDescent="0.35">
      <c r="B29" s="100">
        <v>1</v>
      </c>
      <c r="C29" s="99" t="s">
        <v>370</v>
      </c>
      <c r="D29" s="389">
        <f>'9. Financial indiacators'!C49</f>
        <v>0.41495793430063355</v>
      </c>
      <c r="E29" s="100" t="s">
        <v>371</v>
      </c>
      <c r="F29" s="390" t="s">
        <v>589</v>
      </c>
      <c r="G29" s="100" t="s">
        <v>372</v>
      </c>
    </row>
    <row r="30" spans="2:13" ht="43.5" x14ac:dyDescent="0.35">
      <c r="B30" s="100">
        <v>2</v>
      </c>
      <c r="C30" s="99" t="s">
        <v>373</v>
      </c>
      <c r="D30" s="391">
        <f>'9. Financial indiacators'!C85</f>
        <v>0.18929540089699845</v>
      </c>
      <c r="E30" s="100" t="s">
        <v>371</v>
      </c>
      <c r="F30" s="390" t="s">
        <v>730</v>
      </c>
      <c r="G30" s="100" t="s">
        <v>374</v>
      </c>
    </row>
    <row r="31" spans="2:13" ht="43.5" x14ac:dyDescent="0.35">
      <c r="B31" s="100">
        <v>3</v>
      </c>
      <c r="C31" s="99" t="s">
        <v>375</v>
      </c>
      <c r="D31" s="389">
        <f>'9. Financial indiacators'!C16</f>
        <v>0.11763422366038001</v>
      </c>
      <c r="E31" s="100" t="s">
        <v>371</v>
      </c>
      <c r="F31" s="390" t="s">
        <v>729</v>
      </c>
      <c r="G31" s="100" t="s">
        <v>376</v>
      </c>
    </row>
    <row r="32" spans="2:13" ht="72.5" x14ac:dyDescent="0.35">
      <c r="B32" s="100">
        <v>4</v>
      </c>
      <c r="C32" s="99" t="s">
        <v>377</v>
      </c>
      <c r="D32" s="392">
        <f>'9. Financial indiacators'!C73</f>
        <v>1305182.0288849398</v>
      </c>
      <c r="E32" s="100" t="s">
        <v>381</v>
      </c>
      <c r="F32" s="390" t="s">
        <v>590</v>
      </c>
      <c r="G32" s="100" t="s">
        <v>378</v>
      </c>
    </row>
    <row r="33" spans="2:7" ht="58" x14ac:dyDescent="0.35">
      <c r="B33" s="100">
        <v>5</v>
      </c>
      <c r="C33" s="99" t="s">
        <v>379</v>
      </c>
      <c r="D33" s="393">
        <f>'9. Financial indiacators'!D101</f>
        <v>5.0470159423120231</v>
      </c>
      <c r="E33" s="100" t="s">
        <v>371</v>
      </c>
      <c r="F33" s="390" t="s">
        <v>591</v>
      </c>
      <c r="G33" s="100" t="s">
        <v>382</v>
      </c>
    </row>
    <row r="34" spans="2:7" ht="43.5" x14ac:dyDescent="0.35">
      <c r="B34" s="100">
        <v>6</v>
      </c>
      <c r="C34" s="99" t="s">
        <v>380</v>
      </c>
      <c r="D34" s="393">
        <f>'9. Financial indiacators'!C116</f>
        <v>2.624664644383162</v>
      </c>
      <c r="E34" s="100" t="s">
        <v>371</v>
      </c>
      <c r="F34" s="390" t="s">
        <v>592</v>
      </c>
      <c r="G34" s="99" t="s">
        <v>383</v>
      </c>
    </row>
  </sheetData>
  <mergeCells count="8">
    <mergeCell ref="F28:G28"/>
    <mergeCell ref="B27:F27"/>
    <mergeCell ref="B13:C13"/>
    <mergeCell ref="B23:C23"/>
    <mergeCell ref="B3:F3"/>
    <mergeCell ref="B17:F17"/>
    <mergeCell ref="B25:F25"/>
    <mergeCell ref="A15:F15"/>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5"/>
  <sheetViews>
    <sheetView view="pageBreakPreview" topLeftCell="A54" zoomScale="80" zoomScaleSheetLayoutView="80" workbookViewId="0">
      <selection activeCell="G66" sqref="G66"/>
    </sheetView>
  </sheetViews>
  <sheetFormatPr defaultColWidth="8.7265625" defaultRowHeight="14.5" x14ac:dyDescent="0.35"/>
  <cols>
    <col min="1" max="1" width="8.7265625" style="107"/>
    <col min="2" max="2" width="7.54296875" style="107" bestFit="1" customWidth="1"/>
    <col min="3" max="3" width="41.54296875" style="107" customWidth="1"/>
    <col min="4" max="4" width="9.7265625" style="107" customWidth="1"/>
    <col min="5" max="5" width="17" style="107" customWidth="1"/>
    <col min="6" max="6" width="14" style="107" bestFit="1" customWidth="1"/>
    <col min="7" max="7" width="12.26953125" style="107" customWidth="1"/>
    <col min="8" max="8" width="11.54296875" style="107" bestFit="1" customWidth="1"/>
    <col min="9" max="16384" width="8.7265625" style="107"/>
  </cols>
  <sheetData>
    <row r="2" spans="1:7" x14ac:dyDescent="0.35">
      <c r="A2" s="233" t="s">
        <v>695</v>
      </c>
      <c r="B2" s="423" t="s">
        <v>675</v>
      </c>
      <c r="C2" s="423"/>
      <c r="D2" s="423"/>
      <c r="E2" s="423"/>
      <c r="F2" s="423"/>
      <c r="G2" s="423"/>
    </row>
    <row r="4" spans="1:7" ht="29" x14ac:dyDescent="0.35">
      <c r="B4" s="13" t="s">
        <v>143</v>
      </c>
      <c r="C4" s="13" t="s">
        <v>127</v>
      </c>
      <c r="D4" s="13" t="s">
        <v>131</v>
      </c>
      <c r="E4" s="13" t="s">
        <v>144</v>
      </c>
      <c r="F4" s="13" t="s">
        <v>145</v>
      </c>
      <c r="G4" s="13" t="s">
        <v>154</v>
      </c>
    </row>
    <row r="5" spans="1:7" x14ac:dyDescent="0.35">
      <c r="B5" s="338">
        <v>1</v>
      </c>
      <c r="C5" s="338" t="s">
        <v>146</v>
      </c>
      <c r="D5" s="338"/>
      <c r="E5" s="339"/>
      <c r="F5" s="340"/>
      <c r="G5" s="341" t="s">
        <v>702</v>
      </c>
    </row>
    <row r="6" spans="1:7" x14ac:dyDescent="0.35">
      <c r="B6" s="338">
        <v>2</v>
      </c>
      <c r="C6" s="338" t="s">
        <v>674</v>
      </c>
      <c r="D6" s="342" t="s">
        <v>708</v>
      </c>
      <c r="E6" s="343">
        <v>265.55</v>
      </c>
      <c r="F6" s="344">
        <f>G6/E6</f>
        <v>13259.63095462248</v>
      </c>
      <c r="G6" s="345">
        <v>3521095</v>
      </c>
    </row>
    <row r="7" spans="1:7" x14ac:dyDescent="0.35">
      <c r="B7" s="338">
        <v>3</v>
      </c>
      <c r="C7" s="338" t="s">
        <v>707</v>
      </c>
      <c r="D7" s="342" t="s">
        <v>708</v>
      </c>
      <c r="E7" s="343">
        <v>389.96</v>
      </c>
      <c r="F7" s="344">
        <f>G7/E7</f>
        <v>23956.059595855986</v>
      </c>
      <c r="G7" s="345">
        <f>12863000-G6</f>
        <v>9341905</v>
      </c>
    </row>
    <row r="8" spans="1:7" x14ac:dyDescent="0.35">
      <c r="B8" s="338"/>
      <c r="C8" s="338"/>
      <c r="D8" s="342"/>
      <c r="E8" s="346"/>
      <c r="F8" s="347"/>
      <c r="G8" s="345">
        <f t="shared" ref="G8:G11" si="0">E8*F8</f>
        <v>0</v>
      </c>
    </row>
    <row r="9" spans="1:7" x14ac:dyDescent="0.35">
      <c r="B9" s="338"/>
      <c r="C9" s="338"/>
      <c r="D9" s="342"/>
      <c r="E9" s="346"/>
      <c r="F9" s="347"/>
      <c r="G9" s="345">
        <f t="shared" si="0"/>
        <v>0</v>
      </c>
    </row>
    <row r="10" spans="1:7" x14ac:dyDescent="0.35">
      <c r="B10" s="338"/>
      <c r="C10" s="338"/>
      <c r="D10" s="342"/>
      <c r="E10" s="346"/>
      <c r="F10" s="347"/>
      <c r="G10" s="345">
        <f t="shared" si="0"/>
        <v>0</v>
      </c>
    </row>
    <row r="11" spans="1:7" x14ac:dyDescent="0.35">
      <c r="B11" s="338"/>
      <c r="C11" s="338"/>
      <c r="D11" s="342"/>
      <c r="E11" s="346"/>
      <c r="F11" s="347"/>
      <c r="G11" s="345">
        <f t="shared" si="0"/>
        <v>0</v>
      </c>
    </row>
    <row r="12" spans="1:7" x14ac:dyDescent="0.35">
      <c r="B12" s="425" t="s">
        <v>1</v>
      </c>
      <c r="C12" s="425"/>
      <c r="D12" s="425"/>
      <c r="E12" s="425"/>
      <c r="F12" s="425"/>
      <c r="G12" s="348">
        <f>SUM(G6:G11)</f>
        <v>12863000</v>
      </c>
    </row>
    <row r="15" spans="1:7" x14ac:dyDescent="0.35">
      <c r="B15" s="423" t="s">
        <v>406</v>
      </c>
      <c r="C15" s="423"/>
      <c r="D15" s="423"/>
      <c r="E15" s="423"/>
      <c r="F15" s="423"/>
      <c r="G15" s="423"/>
    </row>
    <row r="17" spans="2:8" x14ac:dyDescent="0.35">
      <c r="B17" s="423" t="s">
        <v>151</v>
      </c>
      <c r="C17" s="423"/>
      <c r="D17" s="423"/>
      <c r="E17" s="423"/>
      <c r="F17" s="423"/>
      <c r="G17" s="423"/>
      <c r="H17" s="423"/>
    </row>
    <row r="18" spans="2:8" x14ac:dyDescent="0.35">
      <c r="B18" s="190"/>
    </row>
    <row r="19" spans="2:8" ht="29" x14ac:dyDescent="0.35">
      <c r="B19" s="13" t="s">
        <v>143</v>
      </c>
      <c r="C19" s="13" t="s">
        <v>147</v>
      </c>
      <c r="D19" s="13" t="s">
        <v>157</v>
      </c>
      <c r="E19" s="13" t="s">
        <v>148</v>
      </c>
      <c r="F19" s="13" t="s">
        <v>149</v>
      </c>
      <c r="G19" s="13" t="s">
        <v>154</v>
      </c>
      <c r="H19" s="13" t="s">
        <v>150</v>
      </c>
    </row>
    <row r="20" spans="2:8" hidden="1" x14ac:dyDescent="0.35">
      <c r="B20" s="349"/>
      <c r="C20" s="113"/>
      <c r="D20" s="113"/>
      <c r="E20" s="113"/>
      <c r="F20" s="113"/>
      <c r="G20" s="350"/>
      <c r="H20" s="113"/>
    </row>
    <row r="21" spans="2:8" hidden="1" x14ac:dyDescent="0.35">
      <c r="B21" s="325"/>
      <c r="C21" s="351"/>
      <c r="D21" s="351"/>
      <c r="E21" s="325"/>
      <c r="F21" s="352"/>
      <c r="G21" s="350">
        <f t="shared" ref="G21:G31" si="1">E21*F21</f>
        <v>0</v>
      </c>
      <c r="H21" s="178"/>
    </row>
    <row r="22" spans="2:8" hidden="1" x14ac:dyDescent="0.35">
      <c r="B22" s="325"/>
      <c r="C22" s="351"/>
      <c r="D22" s="351"/>
      <c r="E22" s="325"/>
      <c r="F22" s="352"/>
      <c r="G22" s="350">
        <f t="shared" si="1"/>
        <v>0</v>
      </c>
      <c r="H22" s="178"/>
    </row>
    <row r="23" spans="2:8" hidden="1" x14ac:dyDescent="0.35">
      <c r="B23" s="325"/>
      <c r="C23" s="351"/>
      <c r="D23" s="351"/>
      <c r="E23" s="325"/>
      <c r="F23" s="352"/>
      <c r="G23" s="350">
        <f t="shared" si="1"/>
        <v>0</v>
      </c>
      <c r="H23" s="178"/>
    </row>
    <row r="24" spans="2:8" hidden="1" x14ac:dyDescent="0.35">
      <c r="B24" s="325"/>
      <c r="C24" s="351"/>
      <c r="D24" s="351"/>
      <c r="E24" s="325"/>
      <c r="F24" s="352"/>
      <c r="G24" s="350">
        <f t="shared" si="1"/>
        <v>0</v>
      </c>
      <c r="H24" s="178"/>
    </row>
    <row r="25" spans="2:8" hidden="1" x14ac:dyDescent="0.35">
      <c r="B25" s="325"/>
      <c r="C25" s="351"/>
      <c r="D25" s="351"/>
      <c r="E25" s="325"/>
      <c r="F25" s="352"/>
      <c r="G25" s="350">
        <f t="shared" si="1"/>
        <v>0</v>
      </c>
      <c r="H25" s="178"/>
    </row>
    <row r="26" spans="2:8" hidden="1" x14ac:dyDescent="0.35">
      <c r="B26" s="325"/>
      <c r="C26" s="351"/>
      <c r="D26" s="351"/>
      <c r="E26" s="325"/>
      <c r="F26" s="352"/>
      <c r="G26" s="350">
        <f t="shared" si="1"/>
        <v>0</v>
      </c>
      <c r="H26" s="178"/>
    </row>
    <row r="27" spans="2:8" hidden="1" x14ac:dyDescent="0.35">
      <c r="B27" s="325"/>
      <c r="C27" s="351"/>
      <c r="D27" s="351"/>
      <c r="E27" s="325"/>
      <c r="F27" s="352"/>
      <c r="G27" s="350">
        <f t="shared" si="1"/>
        <v>0</v>
      </c>
      <c r="H27" s="178"/>
    </row>
    <row r="28" spans="2:8" hidden="1" x14ac:dyDescent="0.35">
      <c r="B28" s="325"/>
      <c r="C28" s="351"/>
      <c r="D28" s="351"/>
      <c r="E28" s="325"/>
      <c r="F28" s="352"/>
      <c r="G28" s="350">
        <f t="shared" si="1"/>
        <v>0</v>
      </c>
      <c r="H28" s="178"/>
    </row>
    <row r="29" spans="2:8" hidden="1" x14ac:dyDescent="0.35">
      <c r="B29" s="325"/>
      <c r="C29" s="351"/>
      <c r="D29" s="325"/>
      <c r="E29" s="325"/>
      <c r="F29" s="352"/>
      <c r="G29" s="350">
        <f t="shared" si="1"/>
        <v>0</v>
      </c>
      <c r="H29" s="178"/>
    </row>
    <row r="30" spans="2:8" hidden="1" x14ac:dyDescent="0.35">
      <c r="B30" s="325"/>
      <c r="C30" s="351"/>
      <c r="D30" s="325"/>
      <c r="E30" s="325"/>
      <c r="F30" s="352"/>
      <c r="G30" s="350">
        <f t="shared" si="1"/>
        <v>0</v>
      </c>
      <c r="H30" s="178"/>
    </row>
    <row r="31" spans="2:8" hidden="1" x14ac:dyDescent="0.35">
      <c r="B31" s="325"/>
      <c r="C31" s="351"/>
      <c r="D31" s="325"/>
      <c r="E31" s="325"/>
      <c r="F31" s="352"/>
      <c r="G31" s="350">
        <f t="shared" si="1"/>
        <v>0</v>
      </c>
      <c r="H31" s="178"/>
    </row>
    <row r="32" spans="2:8" ht="15" hidden="1" customHeight="1" x14ac:dyDescent="0.35">
      <c r="B32" s="426" t="s">
        <v>167</v>
      </c>
      <c r="C32" s="427"/>
      <c r="D32" s="325"/>
      <c r="E32" s="325"/>
      <c r="F32" s="353"/>
      <c r="G32" s="350">
        <f>SUM(G21:G31)</f>
        <v>0</v>
      </c>
      <c r="H32" s="350">
        <f>SUM(H21:H31)</f>
        <v>0</v>
      </c>
    </row>
    <row r="33" spans="2:8" hidden="1" x14ac:dyDescent="0.35">
      <c r="B33" s="325" t="s">
        <v>170</v>
      </c>
      <c r="C33" s="351" t="s">
        <v>291</v>
      </c>
      <c r="D33" s="349"/>
      <c r="E33" s="349"/>
      <c r="F33" s="350"/>
      <c r="G33" s="350"/>
      <c r="H33" s="113"/>
    </row>
    <row r="34" spans="2:8" hidden="1" x14ac:dyDescent="0.35">
      <c r="B34" s="349"/>
      <c r="C34" s="354"/>
      <c r="D34" s="354"/>
      <c r="E34" s="349"/>
      <c r="F34" s="350"/>
      <c r="G34" s="350">
        <f t="shared" ref="G34:G39" si="2">E34*F34</f>
        <v>0</v>
      </c>
      <c r="H34" s="113"/>
    </row>
    <row r="35" spans="2:8" hidden="1" x14ac:dyDescent="0.35">
      <c r="B35" s="349"/>
      <c r="C35" s="354"/>
      <c r="D35" s="349"/>
      <c r="E35" s="349"/>
      <c r="F35" s="350"/>
      <c r="G35" s="350">
        <f t="shared" si="2"/>
        <v>0</v>
      </c>
      <c r="H35" s="113"/>
    </row>
    <row r="36" spans="2:8" hidden="1" x14ac:dyDescent="0.35">
      <c r="B36" s="349"/>
      <c r="C36" s="354"/>
      <c r="D36" s="349"/>
      <c r="E36" s="349"/>
      <c r="F36" s="350"/>
      <c r="G36" s="350">
        <f t="shared" si="2"/>
        <v>0</v>
      </c>
      <c r="H36" s="113"/>
    </row>
    <row r="37" spans="2:8" hidden="1" x14ac:dyDescent="0.35">
      <c r="B37" s="349"/>
      <c r="C37" s="354"/>
      <c r="D37" s="349"/>
      <c r="E37" s="349"/>
      <c r="F37" s="350"/>
      <c r="G37" s="350">
        <f t="shared" si="2"/>
        <v>0</v>
      </c>
      <c r="H37" s="113"/>
    </row>
    <row r="38" spans="2:8" hidden="1" x14ac:dyDescent="0.35">
      <c r="B38" s="349"/>
      <c r="C38" s="354"/>
      <c r="D38" s="349"/>
      <c r="E38" s="349"/>
      <c r="F38" s="350"/>
      <c r="G38" s="350">
        <f t="shared" si="2"/>
        <v>0</v>
      </c>
      <c r="H38" s="113"/>
    </row>
    <row r="39" spans="2:8" hidden="1" x14ac:dyDescent="0.35">
      <c r="B39" s="349"/>
      <c r="C39" s="354"/>
      <c r="D39" s="349"/>
      <c r="E39" s="349"/>
      <c r="F39" s="350"/>
      <c r="G39" s="350">
        <f t="shared" si="2"/>
        <v>0</v>
      </c>
      <c r="H39" s="113"/>
    </row>
    <row r="40" spans="2:8" hidden="1" x14ac:dyDescent="0.35">
      <c r="B40" s="349"/>
      <c r="C40" s="354"/>
      <c r="D40" s="349"/>
      <c r="E40" s="349"/>
      <c r="F40" s="350"/>
      <c r="G40" s="350">
        <f t="shared" ref="G40:G46" si="3">F40</f>
        <v>0</v>
      </c>
      <c r="H40" s="113"/>
    </row>
    <row r="41" spans="2:8" hidden="1" x14ac:dyDescent="0.35">
      <c r="B41" s="349"/>
      <c r="C41" s="354"/>
      <c r="D41" s="349"/>
      <c r="E41" s="349"/>
      <c r="F41" s="350"/>
      <c r="G41" s="350">
        <f t="shared" si="3"/>
        <v>0</v>
      </c>
      <c r="H41" s="113"/>
    </row>
    <row r="42" spans="2:8" hidden="1" x14ac:dyDescent="0.35">
      <c r="B42" s="349"/>
      <c r="C42" s="354"/>
      <c r="D42" s="349"/>
      <c r="E42" s="349"/>
      <c r="F42" s="350"/>
      <c r="G42" s="350">
        <f t="shared" si="3"/>
        <v>0</v>
      </c>
      <c r="H42" s="113"/>
    </row>
    <row r="43" spans="2:8" hidden="1" x14ac:dyDescent="0.35">
      <c r="B43" s="349"/>
      <c r="C43" s="354"/>
      <c r="D43" s="349"/>
      <c r="E43" s="349"/>
      <c r="F43" s="350"/>
      <c r="G43" s="350">
        <f t="shared" si="3"/>
        <v>0</v>
      </c>
      <c r="H43" s="113"/>
    </row>
    <row r="44" spans="2:8" hidden="1" x14ac:dyDescent="0.35">
      <c r="B44" s="349"/>
      <c r="C44" s="354"/>
      <c r="D44" s="349"/>
      <c r="E44" s="349"/>
      <c r="F44" s="350"/>
      <c r="G44" s="350">
        <f t="shared" si="3"/>
        <v>0</v>
      </c>
      <c r="H44" s="113"/>
    </row>
    <row r="45" spans="2:8" hidden="1" x14ac:dyDescent="0.35">
      <c r="B45" s="349"/>
      <c r="C45" s="354"/>
      <c r="D45" s="349"/>
      <c r="E45" s="349"/>
      <c r="F45" s="350"/>
      <c r="G45" s="350">
        <f t="shared" si="3"/>
        <v>0</v>
      </c>
      <c r="H45" s="113"/>
    </row>
    <row r="46" spans="2:8" hidden="1" x14ac:dyDescent="0.35">
      <c r="B46" s="349"/>
      <c r="C46" s="354"/>
      <c r="D46" s="349"/>
      <c r="E46" s="349"/>
      <c r="F46" s="350"/>
      <c r="G46" s="350">
        <f t="shared" si="3"/>
        <v>0</v>
      </c>
      <c r="H46" s="113"/>
    </row>
    <row r="47" spans="2:8" ht="15" hidden="1" customHeight="1" x14ac:dyDescent="0.35">
      <c r="B47" s="426" t="s">
        <v>167</v>
      </c>
      <c r="C47" s="427"/>
      <c r="D47" s="325"/>
      <c r="E47" s="325"/>
      <c r="F47" s="353"/>
      <c r="G47" s="353">
        <f>SUM(G34:G46)</f>
        <v>0</v>
      </c>
      <c r="H47" s="353">
        <f>SUM(H34:H46)</f>
        <v>0</v>
      </c>
    </row>
    <row r="48" spans="2:8" hidden="1" x14ac:dyDescent="0.35">
      <c r="B48" s="349"/>
      <c r="C48" s="354"/>
      <c r="D48" s="349"/>
      <c r="E48" s="349"/>
      <c r="F48" s="350"/>
      <c r="G48" s="350"/>
      <c r="H48" s="113"/>
    </row>
    <row r="49" spans="2:8" x14ac:dyDescent="0.35">
      <c r="B49" s="355" t="s">
        <v>169</v>
      </c>
      <c r="C49" s="324" t="s">
        <v>357</v>
      </c>
      <c r="D49" s="102"/>
      <c r="E49" s="102"/>
      <c r="F49" s="105"/>
      <c r="G49" s="105">
        <f t="shared" ref="G49:G57" si="4">E49*F49</f>
        <v>0</v>
      </c>
      <c r="H49" s="125"/>
    </row>
    <row r="50" spans="2:8" x14ac:dyDescent="0.35">
      <c r="B50" s="102">
        <v>1</v>
      </c>
      <c r="C50" s="103" t="s">
        <v>720</v>
      </c>
      <c r="D50" s="103" t="s">
        <v>721</v>
      </c>
      <c r="E50" s="102">
        <v>4</v>
      </c>
      <c r="F50" s="105">
        <v>80000</v>
      </c>
      <c r="G50" s="105">
        <f t="shared" si="4"/>
        <v>320000</v>
      </c>
      <c r="H50" s="125">
        <v>4</v>
      </c>
    </row>
    <row r="51" spans="2:8" x14ac:dyDescent="0.35">
      <c r="B51" s="102">
        <f>+B50+1</f>
        <v>2</v>
      </c>
      <c r="C51" s="103" t="s">
        <v>722</v>
      </c>
      <c r="D51" s="103" t="s">
        <v>723</v>
      </c>
      <c r="E51" s="102">
        <v>1</v>
      </c>
      <c r="F51" s="105">
        <v>550000</v>
      </c>
      <c r="G51" s="105">
        <f t="shared" si="4"/>
        <v>550000</v>
      </c>
      <c r="H51" s="125">
        <v>17</v>
      </c>
    </row>
    <row r="52" spans="2:8" x14ac:dyDescent="0.35">
      <c r="B52" s="102">
        <f t="shared" ref="B52:B56" si="5">+B51+1</f>
        <v>3</v>
      </c>
      <c r="C52" s="103" t="s">
        <v>671</v>
      </c>
      <c r="D52" s="103"/>
      <c r="E52" s="102">
        <v>1</v>
      </c>
      <c r="F52" s="105">
        <v>35000</v>
      </c>
      <c r="G52" s="105">
        <f t="shared" si="4"/>
        <v>35000</v>
      </c>
      <c r="H52" s="125"/>
    </row>
    <row r="53" spans="2:8" x14ac:dyDescent="0.35">
      <c r="B53" s="102">
        <f t="shared" si="5"/>
        <v>4</v>
      </c>
      <c r="C53" s="103" t="s">
        <v>724</v>
      </c>
      <c r="D53" s="103" t="s">
        <v>725</v>
      </c>
      <c r="E53" s="102">
        <v>1</v>
      </c>
      <c r="F53" s="105">
        <v>325000</v>
      </c>
      <c r="G53" s="105">
        <f t="shared" si="4"/>
        <v>325000</v>
      </c>
      <c r="H53" s="125">
        <v>9.5</v>
      </c>
    </row>
    <row r="54" spans="2:8" x14ac:dyDescent="0.35">
      <c r="B54" s="102">
        <f t="shared" si="5"/>
        <v>5</v>
      </c>
      <c r="C54" s="103" t="s">
        <v>726</v>
      </c>
      <c r="D54" s="103" t="s">
        <v>727</v>
      </c>
      <c r="E54" s="102">
        <v>1</v>
      </c>
      <c r="F54" s="105">
        <v>350000</v>
      </c>
      <c r="G54" s="105">
        <f t="shared" si="4"/>
        <v>350000</v>
      </c>
      <c r="H54" s="125">
        <v>2</v>
      </c>
    </row>
    <row r="55" spans="2:8" x14ac:dyDescent="0.35">
      <c r="B55" s="102">
        <f t="shared" si="5"/>
        <v>6</v>
      </c>
      <c r="C55" s="103" t="s">
        <v>728</v>
      </c>
      <c r="D55" s="103"/>
      <c r="E55" s="102">
        <v>2</v>
      </c>
      <c r="F55" s="105">
        <v>50000</v>
      </c>
      <c r="G55" s="105">
        <f t="shared" si="4"/>
        <v>100000</v>
      </c>
      <c r="H55" s="125"/>
    </row>
    <row r="56" spans="2:8" x14ac:dyDescent="0.35">
      <c r="B56" s="102">
        <f t="shared" si="5"/>
        <v>7</v>
      </c>
      <c r="C56" s="103" t="s">
        <v>672</v>
      </c>
      <c r="D56" s="103"/>
      <c r="E56" s="102">
        <v>1</v>
      </c>
      <c r="F56" s="105">
        <v>50000</v>
      </c>
      <c r="G56" s="105">
        <f t="shared" si="4"/>
        <v>50000</v>
      </c>
      <c r="H56" s="125"/>
    </row>
    <row r="57" spans="2:8" x14ac:dyDescent="0.35">
      <c r="B57" s="355"/>
      <c r="C57" s="324" t="s">
        <v>673</v>
      </c>
      <c r="D57" s="103"/>
      <c r="E57" s="356">
        <v>0.05</v>
      </c>
      <c r="F57" s="105">
        <f>SUM(G50:G56)</f>
        <v>1730000</v>
      </c>
      <c r="G57" s="105">
        <f t="shared" si="4"/>
        <v>86500</v>
      </c>
      <c r="H57" s="125"/>
    </row>
    <row r="58" spans="2:8" x14ac:dyDescent="0.35">
      <c r="B58" s="357"/>
      <c r="C58" s="324"/>
      <c r="D58" s="103"/>
      <c r="E58" s="356"/>
      <c r="F58" s="105"/>
      <c r="G58" s="358">
        <f>SUM(G49:G57)</f>
        <v>1816500</v>
      </c>
      <c r="H58" s="125"/>
    </row>
    <row r="59" spans="2:8" x14ac:dyDescent="0.35">
      <c r="B59" s="357"/>
      <c r="C59" s="324"/>
      <c r="D59" s="103"/>
      <c r="E59" s="356"/>
      <c r="F59" s="105"/>
      <c r="G59" s="105"/>
      <c r="H59" s="125"/>
    </row>
    <row r="60" spans="2:8" x14ac:dyDescent="0.35">
      <c r="B60" s="355" t="s">
        <v>170</v>
      </c>
      <c r="C60" s="324" t="s">
        <v>731</v>
      </c>
      <c r="D60" s="103">
        <v>1</v>
      </c>
      <c r="E60" s="102"/>
      <c r="F60" s="105"/>
      <c r="G60" s="105"/>
      <c r="H60" s="125"/>
    </row>
    <row r="61" spans="2:8" x14ac:dyDescent="0.35">
      <c r="B61" s="357"/>
      <c r="C61" s="394" t="s">
        <v>738</v>
      </c>
      <c r="D61" s="395">
        <v>1</v>
      </c>
      <c r="E61" s="396">
        <v>1</v>
      </c>
      <c r="F61" s="397">
        <v>1584000</v>
      </c>
      <c r="G61" s="398">
        <f>F61*E61</f>
        <v>1584000</v>
      </c>
      <c r="H61" s="125"/>
    </row>
    <row r="62" spans="2:8" x14ac:dyDescent="0.35">
      <c r="B62" s="357"/>
      <c r="C62" s="394" t="s">
        <v>739</v>
      </c>
      <c r="D62" s="395"/>
      <c r="E62" s="396">
        <v>1</v>
      </c>
      <c r="F62" s="397">
        <v>48500</v>
      </c>
      <c r="G62" s="398">
        <f t="shared" ref="G62:G64" si="6">F62*E62</f>
        <v>48500</v>
      </c>
      <c r="H62" s="125"/>
    </row>
    <row r="63" spans="2:8" x14ac:dyDescent="0.35">
      <c r="B63" s="357"/>
      <c r="C63" s="394" t="s">
        <v>740</v>
      </c>
      <c r="D63" s="395"/>
      <c r="E63" s="396">
        <v>1</v>
      </c>
      <c r="F63" s="397">
        <v>30000</v>
      </c>
      <c r="G63" s="398">
        <f t="shared" si="6"/>
        <v>30000</v>
      </c>
      <c r="H63" s="125"/>
    </row>
    <row r="64" spans="2:8" x14ac:dyDescent="0.35">
      <c r="B64" s="357"/>
      <c r="C64" s="396" t="s">
        <v>741</v>
      </c>
      <c r="D64" s="395"/>
      <c r="E64" s="399">
        <v>0.18</v>
      </c>
      <c r="F64" s="397">
        <f>SUM(G61:G63)</f>
        <v>1662500</v>
      </c>
      <c r="G64" s="398">
        <f t="shared" si="6"/>
        <v>299250</v>
      </c>
      <c r="H64" s="125"/>
    </row>
    <row r="65" spans="2:11" x14ac:dyDescent="0.35">
      <c r="B65" s="357"/>
      <c r="C65" s="396"/>
      <c r="D65" s="395"/>
      <c r="E65" s="399"/>
      <c r="F65" s="397"/>
      <c r="G65" s="400">
        <f>SUM(G61:G64)</f>
        <v>1961750</v>
      </c>
      <c r="H65" s="125"/>
    </row>
    <row r="66" spans="2:11" x14ac:dyDescent="0.35">
      <c r="B66" s="357"/>
      <c r="C66" s="396"/>
      <c r="D66" s="395"/>
      <c r="E66" s="399"/>
      <c r="F66" s="397"/>
      <c r="G66" s="398"/>
      <c r="H66" s="125"/>
    </row>
    <row r="67" spans="2:11" x14ac:dyDescent="0.35">
      <c r="B67" s="428" t="s">
        <v>167</v>
      </c>
      <c r="C67" s="428"/>
      <c r="D67" s="103"/>
      <c r="E67" s="102"/>
      <c r="F67" s="105"/>
      <c r="G67" s="105">
        <f>G65+G58</f>
        <v>3778250</v>
      </c>
      <c r="H67" s="105">
        <f>SUM(H50:H60)</f>
        <v>32.5</v>
      </c>
    </row>
    <row r="68" spans="2:11" hidden="1" x14ac:dyDescent="0.35">
      <c r="B68" s="325"/>
      <c r="C68" s="325"/>
      <c r="D68" s="354"/>
      <c r="E68" s="349"/>
      <c r="F68" s="350"/>
      <c r="G68" s="350"/>
      <c r="H68" s="350"/>
    </row>
    <row r="69" spans="2:11" hidden="1" x14ac:dyDescent="0.35">
      <c r="B69" s="325" t="s">
        <v>172</v>
      </c>
      <c r="C69" s="325" t="s">
        <v>530</v>
      </c>
      <c r="D69" s="354"/>
      <c r="E69" s="349"/>
      <c r="F69" s="350"/>
      <c r="G69" s="350">
        <f>E69*F69</f>
        <v>0</v>
      </c>
      <c r="H69" s="350"/>
    </row>
    <row r="70" spans="2:11" hidden="1" x14ac:dyDescent="0.35">
      <c r="B70" s="325"/>
      <c r="C70" s="325"/>
      <c r="D70" s="354"/>
      <c r="E70" s="349"/>
      <c r="F70" s="350"/>
      <c r="G70" s="350">
        <f t="shared" ref="G70:G72" si="7">E70*F70</f>
        <v>0</v>
      </c>
      <c r="H70" s="350"/>
    </row>
    <row r="71" spans="2:11" hidden="1" x14ac:dyDescent="0.35">
      <c r="B71" s="325"/>
      <c r="C71" s="325"/>
      <c r="D71" s="354"/>
      <c r="E71" s="349"/>
      <c r="F71" s="350"/>
      <c r="G71" s="350">
        <f t="shared" si="7"/>
        <v>0</v>
      </c>
      <c r="H71" s="350"/>
    </row>
    <row r="72" spans="2:11" hidden="1" x14ac:dyDescent="0.35">
      <c r="B72" s="325"/>
      <c r="C72" s="351"/>
      <c r="D72" s="354"/>
      <c r="E72" s="349"/>
      <c r="F72" s="350"/>
      <c r="G72" s="350">
        <f t="shared" si="7"/>
        <v>0</v>
      </c>
      <c r="H72" s="113"/>
    </row>
    <row r="73" spans="2:11" hidden="1" x14ac:dyDescent="0.35">
      <c r="B73" s="430" t="s">
        <v>167</v>
      </c>
      <c r="C73" s="430"/>
      <c r="D73" s="354"/>
      <c r="E73" s="349"/>
      <c r="F73" s="350"/>
      <c r="G73" s="350">
        <f>SUM(G69:G72)</f>
        <v>0</v>
      </c>
      <c r="H73" s="350">
        <f>SUM(H69:H72)</f>
        <v>0</v>
      </c>
    </row>
    <row r="74" spans="2:11" hidden="1" x14ac:dyDescent="0.35">
      <c r="B74" s="349"/>
      <c r="C74" s="354"/>
      <c r="D74" s="354"/>
      <c r="E74" s="349"/>
      <c r="F74" s="350"/>
      <c r="G74" s="350"/>
      <c r="H74" s="113"/>
    </row>
    <row r="75" spans="2:11" x14ac:dyDescent="0.35">
      <c r="B75" s="422" t="s">
        <v>1</v>
      </c>
      <c r="C75" s="422"/>
      <c r="D75" s="422"/>
      <c r="E75" s="422"/>
      <c r="F75" s="422"/>
      <c r="G75" s="358">
        <f>G67+G47+G32+G73</f>
        <v>3778250</v>
      </c>
      <c r="H75" s="358">
        <f>H47+H21+H67+H73</f>
        <v>32.5</v>
      </c>
    </row>
    <row r="76" spans="2:11" x14ac:dyDescent="0.35">
      <c r="B76" s="190"/>
      <c r="G76" s="359"/>
    </row>
    <row r="77" spans="2:11" x14ac:dyDescent="0.35">
      <c r="B77" s="423" t="s">
        <v>407</v>
      </c>
      <c r="C77" s="423"/>
      <c r="D77" s="423"/>
      <c r="E77" s="423"/>
      <c r="F77" s="423"/>
      <c r="G77" s="423"/>
      <c r="H77" s="423"/>
    </row>
    <row r="78" spans="2:11" hidden="1" x14ac:dyDescent="0.35">
      <c r="B78" s="190"/>
      <c r="G78" s="359"/>
      <c r="I78" s="190"/>
      <c r="J78" s="190"/>
      <c r="K78" s="360"/>
    </row>
    <row r="79" spans="2:11" hidden="1" x14ac:dyDescent="0.35"/>
    <row r="80" spans="2:11" hidden="1" x14ac:dyDescent="0.35"/>
    <row r="81" spans="1:7" x14ac:dyDescent="0.35">
      <c r="B81" s="423" t="s">
        <v>368</v>
      </c>
      <c r="C81" s="423"/>
      <c r="D81" s="423"/>
      <c r="E81" s="423"/>
      <c r="F81" s="423"/>
    </row>
    <row r="82" spans="1:7" ht="29" x14ac:dyDescent="0.35">
      <c r="B82" s="9" t="s">
        <v>143</v>
      </c>
      <c r="C82" s="13" t="s">
        <v>127</v>
      </c>
      <c r="D82" s="13" t="s">
        <v>148</v>
      </c>
      <c r="E82" s="13" t="s">
        <v>149</v>
      </c>
      <c r="F82" s="13" t="s">
        <v>154</v>
      </c>
    </row>
    <row r="83" spans="1:7" x14ac:dyDescent="0.35">
      <c r="B83" s="102">
        <v>1</v>
      </c>
      <c r="C83" s="103" t="s">
        <v>709</v>
      </c>
      <c r="D83" s="102">
        <v>1</v>
      </c>
      <c r="E83" s="104">
        <v>751422</v>
      </c>
      <c r="F83" s="105">
        <f t="shared" ref="F83" si="8">D83*E83</f>
        <v>751422</v>
      </c>
    </row>
    <row r="84" spans="1:7" x14ac:dyDescent="0.35">
      <c r="B84" s="422" t="s">
        <v>1</v>
      </c>
      <c r="C84" s="422"/>
      <c r="D84" s="422"/>
      <c r="E84" s="422"/>
      <c r="F84" s="8">
        <f>SUM(F83:F83)</f>
        <v>751422</v>
      </c>
    </row>
    <row r="85" spans="1:7" x14ac:dyDescent="0.35">
      <c r="A85" s="423" t="s">
        <v>408</v>
      </c>
      <c r="B85" s="423"/>
      <c r="C85" s="423"/>
      <c r="D85" s="423"/>
      <c r="E85" s="423"/>
      <c r="F85" s="423"/>
      <c r="G85" s="423"/>
    </row>
    <row r="88" spans="1:7" x14ac:dyDescent="0.35">
      <c r="B88" s="423" t="s">
        <v>367</v>
      </c>
      <c r="C88" s="423"/>
      <c r="D88" s="423"/>
      <c r="E88" s="423"/>
      <c r="F88" s="423"/>
    </row>
    <row r="90" spans="1:7" ht="29" x14ac:dyDescent="0.35">
      <c r="B90" s="9" t="s">
        <v>143</v>
      </c>
      <c r="C90" s="13" t="s">
        <v>127</v>
      </c>
      <c r="D90" s="13" t="s">
        <v>148</v>
      </c>
      <c r="E90" s="13" t="s">
        <v>149</v>
      </c>
      <c r="F90" s="13" t="s">
        <v>154</v>
      </c>
    </row>
    <row r="91" spans="1:7" x14ac:dyDescent="0.35">
      <c r="B91" s="102">
        <v>1</v>
      </c>
      <c r="C91" s="103" t="s">
        <v>710</v>
      </c>
      <c r="D91" s="102">
        <v>8</v>
      </c>
      <c r="E91" s="104">
        <v>46500</v>
      </c>
      <c r="F91" s="105">
        <f t="shared" ref="F91:F99" si="9">D91*E91</f>
        <v>372000</v>
      </c>
    </row>
    <row r="92" spans="1:7" x14ac:dyDescent="0.35">
      <c r="B92" s="102">
        <f>B91+1</f>
        <v>2</v>
      </c>
      <c r="C92" s="103" t="s">
        <v>710</v>
      </c>
      <c r="D92" s="102">
        <v>2</v>
      </c>
      <c r="E92" s="104">
        <v>62000</v>
      </c>
      <c r="F92" s="105">
        <f t="shared" si="9"/>
        <v>124000</v>
      </c>
    </row>
    <row r="93" spans="1:7" x14ac:dyDescent="0.35">
      <c r="B93" s="102">
        <f t="shared" ref="B93:B99" si="10">B92+1</f>
        <v>3</v>
      </c>
      <c r="C93" s="103" t="s">
        <v>711</v>
      </c>
      <c r="D93" s="102">
        <v>1</v>
      </c>
      <c r="E93" s="104">
        <v>43500</v>
      </c>
      <c r="F93" s="105">
        <f t="shared" si="9"/>
        <v>43500</v>
      </c>
    </row>
    <row r="94" spans="1:7" x14ac:dyDescent="0.35">
      <c r="B94" s="102">
        <f t="shared" si="10"/>
        <v>4</v>
      </c>
      <c r="C94" s="103" t="s">
        <v>712</v>
      </c>
      <c r="D94" s="102">
        <v>2</v>
      </c>
      <c r="E94" s="104">
        <v>21500</v>
      </c>
      <c r="F94" s="105">
        <f t="shared" si="9"/>
        <v>43000</v>
      </c>
    </row>
    <row r="95" spans="1:7" x14ac:dyDescent="0.35">
      <c r="B95" s="102">
        <f t="shared" si="10"/>
        <v>5</v>
      </c>
      <c r="C95" s="103" t="s">
        <v>713</v>
      </c>
      <c r="D95" s="102">
        <v>2</v>
      </c>
      <c r="E95" s="104">
        <v>16500</v>
      </c>
      <c r="F95" s="105">
        <f t="shared" si="9"/>
        <v>33000</v>
      </c>
    </row>
    <row r="96" spans="1:7" x14ac:dyDescent="0.35">
      <c r="B96" s="102">
        <f t="shared" si="10"/>
        <v>6</v>
      </c>
      <c r="C96" s="103" t="s">
        <v>714</v>
      </c>
      <c r="D96" s="102">
        <v>10</v>
      </c>
      <c r="E96" s="104">
        <v>2700</v>
      </c>
      <c r="F96" s="105">
        <f t="shared" si="9"/>
        <v>27000</v>
      </c>
    </row>
    <row r="97" spans="1:7" x14ac:dyDescent="0.35">
      <c r="B97" s="102">
        <f t="shared" si="10"/>
        <v>7</v>
      </c>
      <c r="C97" s="103" t="s">
        <v>715</v>
      </c>
      <c r="D97" s="102">
        <v>1</v>
      </c>
      <c r="E97" s="104">
        <v>10911</v>
      </c>
      <c r="F97" s="105">
        <f t="shared" si="9"/>
        <v>10911</v>
      </c>
    </row>
    <row r="98" spans="1:7" x14ac:dyDescent="0.35">
      <c r="B98" s="102">
        <f t="shared" si="10"/>
        <v>8</v>
      </c>
      <c r="C98" s="103" t="s">
        <v>716</v>
      </c>
      <c r="D98" s="102">
        <v>3</v>
      </c>
      <c r="E98" s="104">
        <v>13000</v>
      </c>
      <c r="F98" s="105">
        <f t="shared" si="9"/>
        <v>39000</v>
      </c>
    </row>
    <row r="99" spans="1:7" x14ac:dyDescent="0.35">
      <c r="B99" s="102">
        <f t="shared" si="10"/>
        <v>9</v>
      </c>
      <c r="C99" s="103" t="s">
        <v>717</v>
      </c>
      <c r="D99" s="102">
        <v>1</v>
      </c>
      <c r="E99" s="104">
        <v>2800</v>
      </c>
      <c r="F99" s="105">
        <f t="shared" si="9"/>
        <v>2800</v>
      </c>
    </row>
    <row r="100" spans="1:7" x14ac:dyDescent="0.35">
      <c r="B100" s="422" t="s">
        <v>1</v>
      </c>
      <c r="C100" s="422"/>
      <c r="D100" s="422"/>
      <c r="E100" s="422"/>
      <c r="F100" s="8">
        <f>SUM(F91:F99)</f>
        <v>695211</v>
      </c>
    </row>
    <row r="102" spans="1:7" x14ac:dyDescent="0.35">
      <c r="A102" s="423" t="s">
        <v>408</v>
      </c>
      <c r="B102" s="423"/>
      <c r="C102" s="423"/>
      <c r="D102" s="423"/>
      <c r="E102" s="423"/>
      <c r="F102" s="423"/>
      <c r="G102" s="423"/>
    </row>
    <row r="105" spans="1:7" x14ac:dyDescent="0.35">
      <c r="B105" s="423" t="s">
        <v>620</v>
      </c>
      <c r="C105" s="423"/>
      <c r="D105" s="423"/>
      <c r="E105" s="423"/>
      <c r="F105" s="423"/>
    </row>
    <row r="107" spans="1:7" ht="29" x14ac:dyDescent="0.35">
      <c r="B107" s="9" t="s">
        <v>143</v>
      </c>
      <c r="C107" s="13" t="s">
        <v>127</v>
      </c>
      <c r="D107" s="13" t="s">
        <v>148</v>
      </c>
      <c r="E107" s="13" t="s">
        <v>149</v>
      </c>
      <c r="F107" s="13" t="s">
        <v>154</v>
      </c>
    </row>
    <row r="108" spans="1:7" x14ac:dyDescent="0.35">
      <c r="B108" s="102"/>
      <c r="C108" s="103"/>
      <c r="D108" s="102"/>
      <c r="E108" s="104"/>
      <c r="F108" s="105">
        <f>E108*D108</f>
        <v>0</v>
      </c>
    </row>
    <row r="109" spans="1:7" x14ac:dyDescent="0.35">
      <c r="B109" s="102"/>
      <c r="C109" s="103"/>
      <c r="D109" s="102"/>
      <c r="E109" s="104"/>
      <c r="F109" s="105">
        <f>E109*D109</f>
        <v>0</v>
      </c>
    </row>
    <row r="110" spans="1:7" x14ac:dyDescent="0.35">
      <c r="B110" s="102"/>
      <c r="C110" s="103"/>
      <c r="D110" s="102"/>
      <c r="E110" s="104"/>
      <c r="F110" s="105">
        <f>E110*D110</f>
        <v>0</v>
      </c>
    </row>
    <row r="111" spans="1:7" x14ac:dyDescent="0.35">
      <c r="B111" s="422" t="s">
        <v>1</v>
      </c>
      <c r="C111" s="422"/>
      <c r="D111" s="422"/>
      <c r="E111" s="422"/>
      <c r="F111" s="8">
        <f>SUM(F108:F110)</f>
        <v>0</v>
      </c>
    </row>
    <row r="112" spans="1:7" x14ac:dyDescent="0.35">
      <c r="A112" s="431" t="s">
        <v>445</v>
      </c>
      <c r="B112" s="431"/>
      <c r="C112" s="431"/>
      <c r="D112" s="431"/>
      <c r="E112" s="431"/>
      <c r="F112" s="431"/>
      <c r="G112" s="431"/>
    </row>
    <row r="115" spans="1:5" x14ac:dyDescent="0.35">
      <c r="B115" s="423" t="s">
        <v>252</v>
      </c>
      <c r="C115" s="423"/>
      <c r="D115" s="423"/>
    </row>
    <row r="117" spans="1:5" ht="29" x14ac:dyDescent="0.35">
      <c r="B117" s="9" t="s">
        <v>143</v>
      </c>
      <c r="C117" s="13" t="s">
        <v>127</v>
      </c>
      <c r="D117" s="13" t="s">
        <v>366</v>
      </c>
    </row>
    <row r="118" spans="1:5" x14ac:dyDescent="0.35">
      <c r="B118" s="361">
        <v>1</v>
      </c>
      <c r="C118" s="103" t="s">
        <v>156</v>
      </c>
      <c r="D118" s="103">
        <v>28600</v>
      </c>
    </row>
    <row r="119" spans="1:5" x14ac:dyDescent="0.35">
      <c r="B119" s="361">
        <v>2</v>
      </c>
      <c r="C119" s="103" t="s">
        <v>719</v>
      </c>
      <c r="D119" s="103">
        <v>100000</v>
      </c>
    </row>
    <row r="120" spans="1:5" x14ac:dyDescent="0.35">
      <c r="B120" s="361">
        <v>3</v>
      </c>
      <c r="C120" s="103" t="s">
        <v>718</v>
      </c>
      <c r="D120" s="103">
        <v>100000</v>
      </c>
    </row>
    <row r="121" spans="1:5" x14ac:dyDescent="0.35">
      <c r="B121" s="361"/>
      <c r="C121" s="103"/>
      <c r="D121" s="103"/>
    </row>
    <row r="122" spans="1:5" x14ac:dyDescent="0.35">
      <c r="B122" s="361"/>
      <c r="C122" s="103"/>
      <c r="D122" s="103"/>
    </row>
    <row r="123" spans="1:5" x14ac:dyDescent="0.35">
      <c r="B123" s="428" t="s">
        <v>1</v>
      </c>
      <c r="C123" s="428"/>
      <c r="D123" s="358">
        <f>SUM(D118:D122)</f>
        <v>228600</v>
      </c>
    </row>
    <row r="125" spans="1:5" ht="26.15" customHeight="1" x14ac:dyDescent="0.35">
      <c r="A125" s="429" t="s">
        <v>446</v>
      </c>
      <c r="B125" s="429"/>
      <c r="C125" s="429"/>
      <c r="D125" s="429"/>
      <c r="E125" s="429"/>
    </row>
  </sheetData>
  <mergeCells count="22">
    <mergeCell ref="B123:C123"/>
    <mergeCell ref="A125:E125"/>
    <mergeCell ref="B73:C73"/>
    <mergeCell ref="A102:G102"/>
    <mergeCell ref="B111:E111"/>
    <mergeCell ref="B105:F105"/>
    <mergeCell ref="A112:G112"/>
    <mergeCell ref="B115:D115"/>
    <mergeCell ref="B84:E84"/>
    <mergeCell ref="B81:F81"/>
    <mergeCell ref="A85:G85"/>
    <mergeCell ref="B100:E100"/>
    <mergeCell ref="B88:F88"/>
    <mergeCell ref="B12:F12"/>
    <mergeCell ref="B2:G2"/>
    <mergeCell ref="B15:G15"/>
    <mergeCell ref="B77:H77"/>
    <mergeCell ref="B75:F75"/>
    <mergeCell ref="B17:H17"/>
    <mergeCell ref="B32:C32"/>
    <mergeCell ref="B47:C47"/>
    <mergeCell ref="B67:C67"/>
  </mergeCells>
  <pageMargins left="0.70866141732283472" right="0.70866141732283472"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0" zoomScaleSheetLayoutView="80" workbookViewId="0">
      <selection activeCell="C7" sqref="C7"/>
    </sheetView>
  </sheetViews>
  <sheetFormatPr defaultColWidth="8.7265625" defaultRowHeight="14.5" x14ac:dyDescent="0.35"/>
  <cols>
    <col min="1" max="1" width="41.26953125" style="107" customWidth="1"/>
    <col min="2" max="2" width="17.26953125" style="107" customWidth="1"/>
    <col min="3" max="3" width="13.26953125" style="107" customWidth="1"/>
    <col min="4" max="4" width="13.453125" style="107" customWidth="1"/>
    <col min="5" max="5" width="14.81640625" style="107" customWidth="1"/>
    <col min="6" max="7" width="14.7265625" style="107" bestFit="1" customWidth="1"/>
    <col min="8" max="8" width="14.81640625" style="107" bestFit="1" customWidth="1"/>
    <col min="9" max="9" width="14.81640625" style="107" customWidth="1"/>
    <col min="10" max="10" width="14.7265625" style="107" bestFit="1" customWidth="1"/>
    <col min="11" max="11" width="14.81640625" style="107" customWidth="1"/>
    <col min="12" max="12" width="12.1796875" style="107" customWidth="1"/>
    <col min="13" max="13" width="12" style="107" customWidth="1"/>
    <col min="14" max="14" width="13.54296875" style="107" customWidth="1"/>
    <col min="15" max="15" width="13.1796875" style="107" customWidth="1"/>
    <col min="16" max="16" width="12.453125" style="107" customWidth="1"/>
    <col min="17" max="17" width="13.1796875" style="107" customWidth="1"/>
    <col min="18" max="16384" width="8.7265625" style="107"/>
  </cols>
  <sheetData>
    <row r="2" spans="1:11" x14ac:dyDescent="0.35">
      <c r="A2" s="421" t="s">
        <v>545</v>
      </c>
      <c r="B2" s="421"/>
      <c r="C2" s="421"/>
      <c r="D2" s="421"/>
      <c r="E2" s="421"/>
      <c r="F2" s="421"/>
      <c r="G2" s="421"/>
      <c r="H2" s="421"/>
      <c r="I2" s="421"/>
      <c r="J2" s="421"/>
      <c r="K2" s="421"/>
    </row>
    <row r="4" spans="1:11" x14ac:dyDescent="0.35">
      <c r="E4" s="108">
        <v>1</v>
      </c>
      <c r="F4" s="109">
        <f>(E4*5%)+E4</f>
        <v>1.05</v>
      </c>
      <c r="G4" s="109">
        <f t="shared" ref="G4:K4" si="0">(F4*5%)+F4</f>
        <v>1.1025</v>
      </c>
      <c r="H4" s="109">
        <f t="shared" si="0"/>
        <v>1.1576250000000001</v>
      </c>
      <c r="I4" s="109">
        <f t="shared" si="0"/>
        <v>1.2155062500000002</v>
      </c>
      <c r="J4" s="109">
        <f t="shared" si="0"/>
        <v>1.2762815625000004</v>
      </c>
      <c r="K4" s="109">
        <f t="shared" si="0"/>
        <v>1.3400956406250004</v>
      </c>
    </row>
    <row r="6" spans="1:11" x14ac:dyDescent="0.35">
      <c r="A6" s="110" t="s">
        <v>0</v>
      </c>
      <c r="B6" s="110" t="s">
        <v>131</v>
      </c>
      <c r="C6" s="110" t="s">
        <v>384</v>
      </c>
      <c r="D6" s="110" t="s">
        <v>286</v>
      </c>
      <c r="E6" s="111" t="s">
        <v>2</v>
      </c>
      <c r="F6" s="111" t="s">
        <v>3</v>
      </c>
      <c r="G6" s="111" t="s">
        <v>4</v>
      </c>
      <c r="H6" s="111" t="s">
        <v>5</v>
      </c>
      <c r="I6" s="111" t="s">
        <v>6</v>
      </c>
      <c r="J6" s="111" t="s">
        <v>165</v>
      </c>
      <c r="K6" s="111" t="s">
        <v>164</v>
      </c>
    </row>
    <row r="7" spans="1:11" x14ac:dyDescent="0.35">
      <c r="A7" s="112"/>
      <c r="B7" s="112"/>
      <c r="C7" s="112"/>
      <c r="D7" s="112"/>
      <c r="E7" s="112"/>
      <c r="F7" s="112"/>
      <c r="G7" s="112"/>
      <c r="H7" s="112"/>
      <c r="I7" s="112"/>
      <c r="J7" s="112"/>
      <c r="K7" s="112"/>
    </row>
    <row r="8" spans="1:11" x14ac:dyDescent="0.35">
      <c r="A8" s="112" t="s">
        <v>324</v>
      </c>
      <c r="B8" s="112" t="s">
        <v>385</v>
      </c>
      <c r="C8" s="113">
        <v>1</v>
      </c>
      <c r="D8" s="114">
        <v>25000</v>
      </c>
      <c r="E8" s="115">
        <f>$C8*$D8*12*E$4</f>
        <v>300000</v>
      </c>
      <c r="F8" s="115">
        <f t="shared" ref="F8:K8" si="1">$C8*$D8*12*F$4</f>
        <v>315000</v>
      </c>
      <c r="G8" s="115">
        <f t="shared" si="1"/>
        <v>330750</v>
      </c>
      <c r="H8" s="115">
        <f t="shared" si="1"/>
        <v>347287.50000000006</v>
      </c>
      <c r="I8" s="115">
        <f t="shared" si="1"/>
        <v>364651.87500000006</v>
      </c>
      <c r="J8" s="115">
        <f t="shared" si="1"/>
        <v>382884.46875000012</v>
      </c>
      <c r="K8" s="115">
        <f t="shared" si="1"/>
        <v>402028.69218750013</v>
      </c>
    </row>
    <row r="9" spans="1:11" x14ac:dyDescent="0.35">
      <c r="A9" s="112" t="s">
        <v>185</v>
      </c>
      <c r="B9" s="112" t="s">
        <v>385</v>
      </c>
      <c r="C9" s="113">
        <v>1</v>
      </c>
      <c r="D9" s="114">
        <v>15000</v>
      </c>
      <c r="E9" s="115">
        <f>$C9*$D9*12*E$4</f>
        <v>180000</v>
      </c>
      <c r="F9" s="115">
        <f t="shared" ref="F9:K10" si="2">$C9*$D9*12*F$4</f>
        <v>189000</v>
      </c>
      <c r="G9" s="115">
        <f t="shared" si="2"/>
        <v>198450</v>
      </c>
      <c r="H9" s="115">
        <f t="shared" si="2"/>
        <v>208372.50000000003</v>
      </c>
      <c r="I9" s="115">
        <f t="shared" si="2"/>
        <v>218791.12500000003</v>
      </c>
      <c r="J9" s="115">
        <f t="shared" si="2"/>
        <v>229730.68125000005</v>
      </c>
      <c r="K9" s="115">
        <f t="shared" si="2"/>
        <v>241217.21531250008</v>
      </c>
    </row>
    <row r="10" spans="1:11" x14ac:dyDescent="0.35">
      <c r="A10" s="112" t="s">
        <v>190</v>
      </c>
      <c r="B10" s="112" t="s">
        <v>385</v>
      </c>
      <c r="C10" s="113">
        <v>2</v>
      </c>
      <c r="D10" s="114">
        <v>8000</v>
      </c>
      <c r="E10" s="115">
        <f>$C10*$D10*12*E$4</f>
        <v>192000</v>
      </c>
      <c r="F10" s="115">
        <f t="shared" si="2"/>
        <v>201600</v>
      </c>
      <c r="G10" s="115">
        <f t="shared" si="2"/>
        <v>211680</v>
      </c>
      <c r="H10" s="115">
        <f t="shared" si="2"/>
        <v>222264.00000000003</v>
      </c>
      <c r="I10" s="115">
        <f t="shared" si="2"/>
        <v>233377.20000000004</v>
      </c>
      <c r="J10" s="115">
        <f t="shared" si="2"/>
        <v>245046.06000000006</v>
      </c>
      <c r="K10" s="115">
        <f t="shared" si="2"/>
        <v>257298.36300000007</v>
      </c>
    </row>
    <row r="11" spans="1:11" x14ac:dyDescent="0.35">
      <c r="A11" s="112" t="s">
        <v>129</v>
      </c>
      <c r="B11" s="112" t="s">
        <v>386</v>
      </c>
      <c r="C11" s="112">
        <v>12</v>
      </c>
      <c r="D11" s="114">
        <v>1000</v>
      </c>
      <c r="E11" s="115">
        <f>$C11*$D11*E$4</f>
        <v>12000</v>
      </c>
      <c r="F11" s="115">
        <f t="shared" ref="F11:K15" si="3">$C11*$D11*F$4</f>
        <v>12600</v>
      </c>
      <c r="G11" s="115">
        <f t="shared" si="3"/>
        <v>13230</v>
      </c>
      <c r="H11" s="115">
        <f t="shared" si="3"/>
        <v>13891.500000000002</v>
      </c>
      <c r="I11" s="115">
        <f t="shared" si="3"/>
        <v>14586.075000000003</v>
      </c>
      <c r="J11" s="115">
        <f t="shared" si="3"/>
        <v>15315.378750000003</v>
      </c>
      <c r="K11" s="115">
        <f t="shared" si="3"/>
        <v>16081.147687500004</v>
      </c>
    </row>
    <row r="12" spans="1:11" x14ac:dyDescent="0.35">
      <c r="A12" s="112" t="s">
        <v>10</v>
      </c>
      <c r="B12" s="112" t="s">
        <v>386</v>
      </c>
      <c r="C12" s="112">
        <v>12</v>
      </c>
      <c r="D12" s="114">
        <v>2000</v>
      </c>
      <c r="E12" s="115">
        <f t="shared" ref="E12:E15" si="4">$C12*$D12*E$4</f>
        <v>24000</v>
      </c>
      <c r="F12" s="115">
        <f t="shared" si="3"/>
        <v>25200</v>
      </c>
      <c r="G12" s="115">
        <f t="shared" si="3"/>
        <v>26460</v>
      </c>
      <c r="H12" s="115">
        <f t="shared" si="3"/>
        <v>27783.000000000004</v>
      </c>
      <c r="I12" s="115">
        <f t="shared" si="3"/>
        <v>29172.150000000005</v>
      </c>
      <c r="J12" s="115">
        <f t="shared" si="3"/>
        <v>30630.757500000007</v>
      </c>
      <c r="K12" s="115">
        <f t="shared" si="3"/>
        <v>32162.295375000009</v>
      </c>
    </row>
    <row r="13" spans="1:11" x14ac:dyDescent="0.35">
      <c r="A13" s="112" t="s">
        <v>186</v>
      </c>
      <c r="B13" s="112" t="s">
        <v>386</v>
      </c>
      <c r="C13" s="112">
        <v>12</v>
      </c>
      <c r="D13" s="114">
        <v>2500</v>
      </c>
      <c r="E13" s="115">
        <f t="shared" si="4"/>
        <v>30000</v>
      </c>
      <c r="F13" s="115">
        <f t="shared" si="3"/>
        <v>31500</v>
      </c>
      <c r="G13" s="115">
        <f t="shared" si="3"/>
        <v>33075</v>
      </c>
      <c r="H13" s="115">
        <f t="shared" si="3"/>
        <v>34728.750000000007</v>
      </c>
      <c r="I13" s="115">
        <f t="shared" si="3"/>
        <v>36465.187500000007</v>
      </c>
      <c r="J13" s="115">
        <f t="shared" si="3"/>
        <v>38288.446875000009</v>
      </c>
      <c r="K13" s="115">
        <f t="shared" si="3"/>
        <v>40202.869218750013</v>
      </c>
    </row>
    <row r="14" spans="1:11" x14ac:dyDescent="0.35">
      <c r="A14" s="112" t="s">
        <v>156</v>
      </c>
      <c r="B14" s="112" t="s">
        <v>386</v>
      </c>
      <c r="C14" s="112">
        <v>12</v>
      </c>
      <c r="D14" s="114">
        <v>1000</v>
      </c>
      <c r="E14" s="115">
        <f t="shared" si="4"/>
        <v>12000</v>
      </c>
      <c r="F14" s="115">
        <f t="shared" si="3"/>
        <v>12600</v>
      </c>
      <c r="G14" s="115">
        <f t="shared" si="3"/>
        <v>13230</v>
      </c>
      <c r="H14" s="115">
        <f t="shared" si="3"/>
        <v>13891.500000000002</v>
      </c>
      <c r="I14" s="115">
        <f t="shared" si="3"/>
        <v>14586.075000000003</v>
      </c>
      <c r="J14" s="115">
        <f t="shared" si="3"/>
        <v>15315.378750000003</v>
      </c>
      <c r="K14" s="115">
        <f t="shared" si="3"/>
        <v>16081.147687500004</v>
      </c>
    </row>
    <row r="15" spans="1:11" x14ac:dyDescent="0.35">
      <c r="A15" s="112" t="s">
        <v>187</v>
      </c>
      <c r="B15" s="112" t="s">
        <v>386</v>
      </c>
      <c r="C15" s="112">
        <v>12</v>
      </c>
      <c r="D15" s="114">
        <v>8400</v>
      </c>
      <c r="E15" s="115">
        <f t="shared" si="4"/>
        <v>100800</v>
      </c>
      <c r="F15" s="115">
        <f t="shared" si="3"/>
        <v>105840</v>
      </c>
      <c r="G15" s="115">
        <f t="shared" si="3"/>
        <v>111132</v>
      </c>
      <c r="H15" s="115">
        <f t="shared" si="3"/>
        <v>116688.6</v>
      </c>
      <c r="I15" s="115">
        <f t="shared" si="3"/>
        <v>122523.03000000003</v>
      </c>
      <c r="J15" s="115">
        <f t="shared" si="3"/>
        <v>128649.18150000004</v>
      </c>
      <c r="K15" s="115">
        <f t="shared" si="3"/>
        <v>135081.64057500006</v>
      </c>
    </row>
    <row r="16" spans="1:11" x14ac:dyDescent="0.35">
      <c r="A16" s="112" t="s">
        <v>188</v>
      </c>
      <c r="B16" s="112" t="s">
        <v>387</v>
      </c>
      <c r="C16" s="112">
        <v>1</v>
      </c>
      <c r="D16" s="114">
        <v>100000</v>
      </c>
      <c r="E16" s="115">
        <f>$D16*E$4*$C16</f>
        <v>100000</v>
      </c>
      <c r="F16" s="115">
        <f t="shared" ref="F16:K22" si="5">$D16*F$4*$C16</f>
        <v>105000</v>
      </c>
      <c r="G16" s="115">
        <f t="shared" si="5"/>
        <v>110250</v>
      </c>
      <c r="H16" s="115">
        <f t="shared" si="5"/>
        <v>115762.50000000001</v>
      </c>
      <c r="I16" s="115">
        <f t="shared" si="5"/>
        <v>121550.62500000003</v>
      </c>
      <c r="J16" s="115">
        <f t="shared" si="5"/>
        <v>127628.15625000003</v>
      </c>
      <c r="K16" s="115">
        <f t="shared" si="5"/>
        <v>134009.56406250005</v>
      </c>
    </row>
    <row r="17" spans="1:17" x14ac:dyDescent="0.35">
      <c r="A17" s="112"/>
      <c r="B17" s="112"/>
      <c r="C17" s="112"/>
      <c r="D17" s="114"/>
      <c r="E17" s="115">
        <f t="shared" ref="E17:E22" si="6">$D17*E$4*$C17</f>
        <v>0</v>
      </c>
      <c r="F17" s="115">
        <f t="shared" si="5"/>
        <v>0</v>
      </c>
      <c r="G17" s="115">
        <f t="shared" si="5"/>
        <v>0</v>
      </c>
      <c r="H17" s="115">
        <f t="shared" si="5"/>
        <v>0</v>
      </c>
      <c r="I17" s="115">
        <f t="shared" si="5"/>
        <v>0</v>
      </c>
      <c r="J17" s="115">
        <f t="shared" si="5"/>
        <v>0</v>
      </c>
      <c r="K17" s="115">
        <f t="shared" si="5"/>
        <v>0</v>
      </c>
    </row>
    <row r="18" spans="1:17" x14ac:dyDescent="0.35">
      <c r="A18" s="112"/>
      <c r="B18" s="112"/>
      <c r="C18" s="112"/>
      <c r="D18" s="114"/>
      <c r="E18" s="115">
        <f t="shared" si="6"/>
        <v>0</v>
      </c>
      <c r="F18" s="115">
        <f t="shared" si="5"/>
        <v>0</v>
      </c>
      <c r="G18" s="115">
        <f t="shared" si="5"/>
        <v>0</v>
      </c>
      <c r="H18" s="115">
        <f t="shared" si="5"/>
        <v>0</v>
      </c>
      <c r="I18" s="115">
        <f t="shared" si="5"/>
        <v>0</v>
      </c>
      <c r="J18" s="115">
        <f t="shared" si="5"/>
        <v>0</v>
      </c>
      <c r="K18" s="115">
        <f t="shared" si="5"/>
        <v>0</v>
      </c>
    </row>
    <row r="19" spans="1:17" x14ac:dyDescent="0.35">
      <c r="A19" s="112"/>
      <c r="B19" s="112"/>
      <c r="C19" s="112"/>
      <c r="D19" s="114"/>
      <c r="E19" s="115">
        <f t="shared" si="6"/>
        <v>0</v>
      </c>
      <c r="F19" s="115">
        <f t="shared" si="5"/>
        <v>0</v>
      </c>
      <c r="G19" s="115">
        <f t="shared" si="5"/>
        <v>0</v>
      </c>
      <c r="H19" s="115">
        <f t="shared" si="5"/>
        <v>0</v>
      </c>
      <c r="I19" s="115">
        <f t="shared" si="5"/>
        <v>0</v>
      </c>
      <c r="J19" s="115">
        <f t="shared" si="5"/>
        <v>0</v>
      </c>
      <c r="K19" s="115">
        <f t="shared" si="5"/>
        <v>0</v>
      </c>
    </row>
    <row r="20" spans="1:17" x14ac:dyDescent="0.35">
      <c r="A20" s="112"/>
      <c r="B20" s="112"/>
      <c r="C20" s="112"/>
      <c r="D20" s="114"/>
      <c r="E20" s="115">
        <f t="shared" si="6"/>
        <v>0</v>
      </c>
      <c r="F20" s="115">
        <f t="shared" si="5"/>
        <v>0</v>
      </c>
      <c r="G20" s="115">
        <f t="shared" si="5"/>
        <v>0</v>
      </c>
      <c r="H20" s="115">
        <f t="shared" si="5"/>
        <v>0</v>
      </c>
      <c r="I20" s="115">
        <f t="shared" si="5"/>
        <v>0</v>
      </c>
      <c r="J20" s="115">
        <f t="shared" si="5"/>
        <v>0</v>
      </c>
      <c r="K20" s="115">
        <f t="shared" si="5"/>
        <v>0</v>
      </c>
    </row>
    <row r="21" spans="1:17" x14ac:dyDescent="0.35">
      <c r="A21" s="112"/>
      <c r="B21" s="112"/>
      <c r="C21" s="112"/>
      <c r="D21" s="114"/>
      <c r="E21" s="115">
        <f t="shared" si="6"/>
        <v>0</v>
      </c>
      <c r="F21" s="115">
        <f t="shared" si="5"/>
        <v>0</v>
      </c>
      <c r="G21" s="115">
        <f t="shared" si="5"/>
        <v>0</v>
      </c>
      <c r="H21" s="115">
        <f t="shared" si="5"/>
        <v>0</v>
      </c>
      <c r="I21" s="115">
        <f t="shared" si="5"/>
        <v>0</v>
      </c>
      <c r="J21" s="115">
        <f t="shared" si="5"/>
        <v>0</v>
      </c>
      <c r="K21" s="115">
        <f t="shared" si="5"/>
        <v>0</v>
      </c>
    </row>
    <row r="22" spans="1:17" x14ac:dyDescent="0.35">
      <c r="A22" s="112"/>
      <c r="B22" s="112"/>
      <c r="C22" s="112"/>
      <c r="D22" s="115"/>
      <c r="E22" s="115">
        <f t="shared" si="6"/>
        <v>0</v>
      </c>
      <c r="F22" s="115">
        <f t="shared" si="5"/>
        <v>0</v>
      </c>
      <c r="G22" s="115">
        <f t="shared" si="5"/>
        <v>0</v>
      </c>
      <c r="H22" s="115">
        <f t="shared" si="5"/>
        <v>0</v>
      </c>
      <c r="I22" s="115">
        <f t="shared" si="5"/>
        <v>0</v>
      </c>
      <c r="J22" s="115">
        <f t="shared" si="5"/>
        <v>0</v>
      </c>
      <c r="K22" s="115">
        <f t="shared" si="5"/>
        <v>0</v>
      </c>
    </row>
    <row r="23" spans="1:17" x14ac:dyDescent="0.35">
      <c r="A23" s="116" t="s">
        <v>130</v>
      </c>
      <c r="B23" s="116"/>
      <c r="C23" s="116"/>
      <c r="D23" s="117"/>
      <c r="E23" s="117">
        <f>SUM(E8:E22)</f>
        <v>950800</v>
      </c>
      <c r="F23" s="117">
        <f t="shared" ref="F23:K23" si="7">SUM(F8:F22)</f>
        <v>998340</v>
      </c>
      <c r="G23" s="117">
        <f t="shared" si="7"/>
        <v>1048257</v>
      </c>
      <c r="H23" s="117">
        <f t="shared" si="7"/>
        <v>1100669.8500000001</v>
      </c>
      <c r="I23" s="117">
        <f t="shared" si="7"/>
        <v>1155703.3425000003</v>
      </c>
      <c r="J23" s="117">
        <f t="shared" si="7"/>
        <v>1213488.5096250002</v>
      </c>
      <c r="K23" s="117">
        <f t="shared" si="7"/>
        <v>1274162.9351062505</v>
      </c>
    </row>
    <row r="28" spans="1:17" x14ac:dyDescent="0.35">
      <c r="A28" s="432"/>
      <c r="B28" s="432"/>
      <c r="C28" s="432"/>
      <c r="D28" s="432"/>
      <c r="E28" s="432"/>
      <c r="F28" s="432"/>
      <c r="G28" s="432"/>
      <c r="H28" s="432"/>
      <c r="I28" s="432"/>
      <c r="J28" s="432"/>
      <c r="K28" s="432"/>
      <c r="L28" s="432"/>
      <c r="M28" s="432"/>
      <c r="N28" s="432"/>
      <c r="O28" s="432"/>
    </row>
    <row r="29" spans="1:17" x14ac:dyDescent="0.35">
      <c r="A29" s="432" t="s">
        <v>691</v>
      </c>
      <c r="B29" s="432"/>
      <c r="C29" s="432"/>
      <c r="D29" s="432"/>
      <c r="E29" s="432"/>
      <c r="F29" s="432"/>
      <c r="G29" s="432"/>
      <c r="H29" s="432"/>
      <c r="I29" s="432"/>
      <c r="J29" s="432"/>
      <c r="K29" s="432"/>
      <c r="L29" s="432"/>
      <c r="M29" s="432"/>
      <c r="N29" s="432"/>
      <c r="O29" s="432"/>
      <c r="P29" s="432"/>
      <c r="Q29" s="432"/>
    </row>
    <row r="30" spans="1:17" s="119" customFormat="1" x14ac:dyDescent="0.35">
      <c r="A30" s="118"/>
      <c r="B30" s="118"/>
      <c r="C30" s="118"/>
      <c r="D30" s="118"/>
      <c r="E30" s="118"/>
      <c r="F30" s="118"/>
      <c r="G30" s="118"/>
      <c r="H30" s="118"/>
      <c r="I30" s="118"/>
      <c r="J30" s="118"/>
      <c r="K30" s="118"/>
      <c r="L30" s="118"/>
      <c r="M30" s="118"/>
      <c r="N30" s="118"/>
      <c r="O30" s="118"/>
    </row>
    <row r="31" spans="1:17" x14ac:dyDescent="0.35">
      <c r="C31" s="434" t="s">
        <v>191</v>
      </c>
      <c r="D31" s="434"/>
      <c r="E31" s="434"/>
      <c r="F31" s="434"/>
      <c r="G31" s="434"/>
      <c r="H31" s="434"/>
      <c r="I31" s="434"/>
      <c r="K31" s="434" t="s">
        <v>192</v>
      </c>
      <c r="L31" s="434"/>
      <c r="M31" s="434"/>
      <c r="N31" s="434"/>
      <c r="O31" s="434"/>
      <c r="P31" s="434"/>
      <c r="Q31" s="434"/>
    </row>
    <row r="32" spans="1:17" x14ac:dyDescent="0.35">
      <c r="A32" s="120" t="s">
        <v>0</v>
      </c>
      <c r="B32" s="121"/>
      <c r="C32" s="122" t="s">
        <v>2</v>
      </c>
      <c r="D32" s="122" t="s">
        <v>3</v>
      </c>
      <c r="E32" s="122" t="s">
        <v>4</v>
      </c>
      <c r="F32" s="122" t="s">
        <v>5</v>
      </c>
      <c r="G32" s="122" t="s">
        <v>6</v>
      </c>
      <c r="H32" s="122" t="s">
        <v>165</v>
      </c>
      <c r="I32" s="122" t="s">
        <v>164</v>
      </c>
      <c r="J32" s="123"/>
      <c r="K32" s="122" t="s">
        <v>2</v>
      </c>
      <c r="L32" s="122" t="s">
        <v>3</v>
      </c>
      <c r="M32" s="122" t="s">
        <v>4</v>
      </c>
      <c r="N32" s="122" t="s">
        <v>5</v>
      </c>
      <c r="O32" s="122" t="s">
        <v>6</v>
      </c>
      <c r="P32" s="122" t="s">
        <v>165</v>
      </c>
      <c r="Q32" s="122" t="s">
        <v>164</v>
      </c>
    </row>
    <row r="33" spans="1:17" x14ac:dyDescent="0.35">
      <c r="A33" s="124" t="s">
        <v>193</v>
      </c>
      <c r="B33" s="125"/>
      <c r="C33" s="125"/>
      <c r="D33" s="125"/>
      <c r="E33" s="125"/>
      <c r="F33" s="125"/>
      <c r="G33" s="126"/>
      <c r="H33" s="126"/>
      <c r="I33" s="126"/>
      <c r="J33" s="125"/>
      <c r="K33" s="125"/>
      <c r="L33" s="125"/>
      <c r="M33" s="125"/>
      <c r="N33" s="125"/>
      <c r="O33" s="126"/>
      <c r="P33" s="126"/>
      <c r="Q33" s="126"/>
    </row>
    <row r="34" spans="1:17" x14ac:dyDescent="0.35">
      <c r="A34" s="124"/>
      <c r="B34" s="125"/>
      <c r="C34" s="125"/>
      <c r="D34" s="125"/>
      <c r="E34" s="125"/>
      <c r="F34" s="125"/>
      <c r="G34" s="126"/>
      <c r="H34" s="126"/>
      <c r="I34" s="126"/>
      <c r="J34" s="125"/>
      <c r="K34" s="125"/>
      <c r="L34" s="125"/>
      <c r="M34" s="125"/>
      <c r="N34" s="125"/>
      <c r="O34" s="126"/>
      <c r="P34" s="126"/>
      <c r="Q34" s="126"/>
    </row>
    <row r="35" spans="1:17" x14ac:dyDescent="0.35">
      <c r="A35" s="127"/>
      <c r="B35" s="127"/>
      <c r="C35" s="125"/>
      <c r="D35" s="125"/>
      <c r="E35" s="125"/>
      <c r="F35" s="125"/>
      <c r="G35" s="125"/>
      <c r="H35" s="125"/>
      <c r="I35" s="125"/>
      <c r="J35" s="125"/>
      <c r="K35" s="125"/>
      <c r="L35" s="125"/>
      <c r="M35" s="125"/>
      <c r="N35" s="125"/>
      <c r="O35" s="125"/>
      <c r="P35" s="125"/>
      <c r="Q35" s="125"/>
    </row>
    <row r="36" spans="1:17" x14ac:dyDescent="0.35">
      <c r="A36" s="128" t="s">
        <v>197</v>
      </c>
      <c r="B36" s="128"/>
      <c r="C36" s="125"/>
      <c r="D36" s="125"/>
      <c r="E36" s="125"/>
      <c r="F36" s="125"/>
      <c r="G36" s="125"/>
      <c r="H36" s="125"/>
      <c r="I36" s="125"/>
      <c r="J36" s="125"/>
      <c r="K36" s="125"/>
      <c r="L36" s="125"/>
      <c r="M36" s="125"/>
      <c r="N36" s="125"/>
      <c r="O36" s="125"/>
      <c r="P36" s="125"/>
      <c r="Q36" s="125"/>
    </row>
    <row r="37" spans="1:17" x14ac:dyDescent="0.35">
      <c r="A37" s="127" t="s">
        <v>194</v>
      </c>
      <c r="B37" s="127"/>
      <c r="C37" s="129">
        <f>'1.Project Cost and MOF'!D6</f>
        <v>12863000</v>
      </c>
      <c r="D37" s="129">
        <f t="shared" ref="D37:I37" si="8">C40</f>
        <v>12455242.9</v>
      </c>
      <c r="E37" s="129">
        <f t="shared" si="8"/>
        <v>12047485.800000001</v>
      </c>
      <c r="F37" s="129">
        <f t="shared" si="8"/>
        <v>11639728.700000001</v>
      </c>
      <c r="G37" s="129">
        <f t="shared" si="8"/>
        <v>11231971.600000001</v>
      </c>
      <c r="H37" s="129">
        <f t="shared" si="8"/>
        <v>10824214.500000002</v>
      </c>
      <c r="I37" s="129">
        <f t="shared" si="8"/>
        <v>10416457.400000002</v>
      </c>
      <c r="J37" s="125"/>
      <c r="K37" s="129">
        <f>C37</f>
        <v>12863000</v>
      </c>
      <c r="L37" s="129">
        <f t="shared" ref="L37:Q37" si="9">K40</f>
        <v>11576700</v>
      </c>
      <c r="M37" s="129">
        <f t="shared" si="9"/>
        <v>10419030</v>
      </c>
      <c r="N37" s="129">
        <f t="shared" si="9"/>
        <v>9377127</v>
      </c>
      <c r="O37" s="129">
        <f t="shared" si="9"/>
        <v>8439414.3000000007</v>
      </c>
      <c r="P37" s="129">
        <f t="shared" si="9"/>
        <v>7595472.870000001</v>
      </c>
      <c r="Q37" s="129">
        <f t="shared" si="9"/>
        <v>6835925.5830000006</v>
      </c>
    </row>
    <row r="38" spans="1:17" x14ac:dyDescent="0.35">
      <c r="A38" s="127" t="s">
        <v>17</v>
      </c>
      <c r="B38" s="127"/>
      <c r="C38" s="129">
        <f t="shared" ref="C38:I38" si="10">$C$37*$B$74</f>
        <v>407757.1</v>
      </c>
      <c r="D38" s="129">
        <f t="shared" si="10"/>
        <v>407757.1</v>
      </c>
      <c r="E38" s="129">
        <f t="shared" si="10"/>
        <v>407757.1</v>
      </c>
      <c r="F38" s="129">
        <f t="shared" si="10"/>
        <v>407757.1</v>
      </c>
      <c r="G38" s="129">
        <f t="shared" si="10"/>
        <v>407757.1</v>
      </c>
      <c r="H38" s="129">
        <f t="shared" si="10"/>
        <v>407757.1</v>
      </c>
      <c r="I38" s="129">
        <f t="shared" si="10"/>
        <v>407757.1</v>
      </c>
      <c r="J38" s="125"/>
      <c r="K38" s="129">
        <f t="shared" ref="K38:Q38" si="11">K37*$C$74</f>
        <v>1286300</v>
      </c>
      <c r="L38" s="129">
        <f t="shared" si="11"/>
        <v>1157670</v>
      </c>
      <c r="M38" s="129">
        <f t="shared" si="11"/>
        <v>1041903</v>
      </c>
      <c r="N38" s="129">
        <f t="shared" si="11"/>
        <v>937712.70000000007</v>
      </c>
      <c r="O38" s="129">
        <f t="shared" si="11"/>
        <v>843941.43000000017</v>
      </c>
      <c r="P38" s="129">
        <f t="shared" si="11"/>
        <v>759547.28700000013</v>
      </c>
      <c r="Q38" s="129">
        <f t="shared" si="11"/>
        <v>683592.55830000015</v>
      </c>
    </row>
    <row r="39" spans="1:17" x14ac:dyDescent="0.35">
      <c r="A39" s="127" t="s">
        <v>195</v>
      </c>
      <c r="B39" s="127"/>
      <c r="C39" s="129">
        <f>C38</f>
        <v>407757.1</v>
      </c>
      <c r="D39" s="129">
        <f t="shared" ref="D39:I39" si="12">C39+D38</f>
        <v>815514.2</v>
      </c>
      <c r="E39" s="129">
        <f t="shared" si="12"/>
        <v>1223271.2999999998</v>
      </c>
      <c r="F39" s="129">
        <f t="shared" si="12"/>
        <v>1631028.4</v>
      </c>
      <c r="G39" s="129">
        <f t="shared" si="12"/>
        <v>2038785.5</v>
      </c>
      <c r="H39" s="129">
        <f t="shared" si="12"/>
        <v>2446542.6</v>
      </c>
      <c r="I39" s="129">
        <f t="shared" si="12"/>
        <v>2854299.7</v>
      </c>
      <c r="J39" s="125"/>
      <c r="K39" s="129">
        <f>K38</f>
        <v>1286300</v>
      </c>
      <c r="L39" s="129">
        <f t="shared" ref="L39:Q39" si="13">K39+L38</f>
        <v>2443970</v>
      </c>
      <c r="M39" s="129">
        <f t="shared" si="13"/>
        <v>3485873</v>
      </c>
      <c r="N39" s="129">
        <f t="shared" si="13"/>
        <v>4423585.7</v>
      </c>
      <c r="O39" s="129">
        <f t="shared" si="13"/>
        <v>5267527.1300000008</v>
      </c>
      <c r="P39" s="129">
        <f t="shared" si="13"/>
        <v>6027074.4170000013</v>
      </c>
      <c r="Q39" s="129">
        <f t="shared" si="13"/>
        <v>6710666.975300001</v>
      </c>
    </row>
    <row r="40" spans="1:17" x14ac:dyDescent="0.35">
      <c r="A40" s="127" t="s">
        <v>196</v>
      </c>
      <c r="B40" s="127"/>
      <c r="C40" s="129">
        <f t="shared" ref="C40:I40" si="14">C37-C38</f>
        <v>12455242.9</v>
      </c>
      <c r="D40" s="129">
        <f t="shared" si="14"/>
        <v>12047485.800000001</v>
      </c>
      <c r="E40" s="129">
        <f t="shared" si="14"/>
        <v>11639728.700000001</v>
      </c>
      <c r="F40" s="129">
        <f t="shared" si="14"/>
        <v>11231971.600000001</v>
      </c>
      <c r="G40" s="129">
        <f t="shared" si="14"/>
        <v>10824214.500000002</v>
      </c>
      <c r="H40" s="129">
        <f t="shared" si="14"/>
        <v>10416457.400000002</v>
      </c>
      <c r="I40" s="129">
        <f t="shared" si="14"/>
        <v>10008700.300000003</v>
      </c>
      <c r="J40" s="125"/>
      <c r="K40" s="129">
        <f t="shared" ref="K40:Q40" si="15">K37-K38</f>
        <v>11576700</v>
      </c>
      <c r="L40" s="129">
        <f t="shared" si="15"/>
        <v>10419030</v>
      </c>
      <c r="M40" s="129">
        <f t="shared" si="15"/>
        <v>9377127</v>
      </c>
      <c r="N40" s="129">
        <f t="shared" si="15"/>
        <v>8439414.3000000007</v>
      </c>
      <c r="O40" s="129">
        <f t="shared" si="15"/>
        <v>7595472.870000001</v>
      </c>
      <c r="P40" s="129">
        <f t="shared" si="15"/>
        <v>6835925.5830000006</v>
      </c>
      <c r="Q40" s="129">
        <f t="shared" si="15"/>
        <v>6152333.0247000009</v>
      </c>
    </row>
    <row r="41" spans="1:17" x14ac:dyDescent="0.35">
      <c r="A41" s="127"/>
      <c r="B41" s="127"/>
      <c r="C41" s="129"/>
      <c r="D41" s="129"/>
      <c r="E41" s="129"/>
      <c r="F41" s="129"/>
      <c r="G41" s="129"/>
      <c r="H41" s="129"/>
      <c r="I41" s="129"/>
      <c r="J41" s="125"/>
      <c r="K41" s="129"/>
      <c r="L41" s="129"/>
      <c r="M41" s="129"/>
      <c r="N41" s="129"/>
      <c r="O41" s="129"/>
      <c r="P41" s="129"/>
      <c r="Q41" s="129"/>
    </row>
    <row r="42" spans="1:17" x14ac:dyDescent="0.35">
      <c r="A42" s="128" t="s">
        <v>198</v>
      </c>
      <c r="B42" s="128"/>
      <c r="C42" s="129"/>
      <c r="D42" s="129"/>
      <c r="E42" s="129"/>
      <c r="F42" s="129"/>
      <c r="G42" s="129"/>
      <c r="H42" s="129"/>
      <c r="I42" s="129"/>
      <c r="J42" s="125"/>
      <c r="K42" s="129"/>
      <c r="L42" s="129"/>
      <c r="M42" s="129"/>
      <c r="N42" s="129"/>
      <c r="O42" s="129"/>
      <c r="P42" s="129"/>
      <c r="Q42" s="129"/>
    </row>
    <row r="43" spans="1:17" x14ac:dyDescent="0.35">
      <c r="A43" s="127" t="s">
        <v>194</v>
      </c>
      <c r="B43" s="127"/>
      <c r="C43" s="129">
        <f>'1.Project Cost and MOF'!D7</f>
        <v>3778250</v>
      </c>
      <c r="D43" s="129">
        <f t="shared" ref="D43:I43" si="16">C46</f>
        <v>3539086.7749999999</v>
      </c>
      <c r="E43" s="129">
        <f t="shared" si="16"/>
        <v>3299923.55</v>
      </c>
      <c r="F43" s="129">
        <f t="shared" si="16"/>
        <v>3060760.3249999997</v>
      </c>
      <c r="G43" s="129">
        <f t="shared" si="16"/>
        <v>2821597.0999999996</v>
      </c>
      <c r="H43" s="129">
        <f t="shared" si="16"/>
        <v>2582433.8749999995</v>
      </c>
      <c r="I43" s="129">
        <f t="shared" si="16"/>
        <v>2343270.6499999994</v>
      </c>
      <c r="J43" s="125"/>
      <c r="K43" s="129">
        <f>C43</f>
        <v>3778250</v>
      </c>
      <c r="L43" s="129">
        <f t="shared" ref="L43:Q43" si="17">K46</f>
        <v>3211512.5</v>
      </c>
      <c r="M43" s="129">
        <f t="shared" si="17"/>
        <v>2729785.625</v>
      </c>
      <c r="N43" s="129">
        <f t="shared" si="17"/>
        <v>2320317.78125</v>
      </c>
      <c r="O43" s="129">
        <f t="shared" si="17"/>
        <v>1972270.1140625</v>
      </c>
      <c r="P43" s="129">
        <f t="shared" si="17"/>
        <v>1676429.596953125</v>
      </c>
      <c r="Q43" s="129">
        <f t="shared" si="17"/>
        <v>1424965.1574101562</v>
      </c>
    </row>
    <row r="44" spans="1:17" x14ac:dyDescent="0.35">
      <c r="A44" s="127" t="s">
        <v>17</v>
      </c>
      <c r="B44" s="127"/>
      <c r="C44" s="129">
        <f t="shared" ref="C44:I44" si="18">$C$43*$B$78</f>
        <v>239163.22499999998</v>
      </c>
      <c r="D44" s="129">
        <f t="shared" si="18"/>
        <v>239163.22499999998</v>
      </c>
      <c r="E44" s="129">
        <f t="shared" si="18"/>
        <v>239163.22499999998</v>
      </c>
      <c r="F44" s="129">
        <f t="shared" si="18"/>
        <v>239163.22499999998</v>
      </c>
      <c r="G44" s="129">
        <f t="shared" si="18"/>
        <v>239163.22499999998</v>
      </c>
      <c r="H44" s="129">
        <f t="shared" si="18"/>
        <v>239163.22499999998</v>
      </c>
      <c r="I44" s="129">
        <f t="shared" si="18"/>
        <v>239163.22499999998</v>
      </c>
      <c r="J44" s="125"/>
      <c r="K44" s="129">
        <f t="shared" ref="K44:Q44" si="19">K43*$C$78</f>
        <v>566737.5</v>
      </c>
      <c r="L44" s="129">
        <f t="shared" si="19"/>
        <v>481726.875</v>
      </c>
      <c r="M44" s="129">
        <f t="shared" si="19"/>
        <v>409467.84375</v>
      </c>
      <c r="N44" s="129">
        <f t="shared" si="19"/>
        <v>348047.66718749999</v>
      </c>
      <c r="O44" s="129">
        <f t="shared" si="19"/>
        <v>295840.51710937498</v>
      </c>
      <c r="P44" s="129">
        <f t="shared" si="19"/>
        <v>251464.43954296873</v>
      </c>
      <c r="Q44" s="129">
        <f t="shared" si="19"/>
        <v>213744.77361152341</v>
      </c>
    </row>
    <row r="45" spans="1:17" x14ac:dyDescent="0.35">
      <c r="A45" s="127" t="s">
        <v>195</v>
      </c>
      <c r="B45" s="127"/>
      <c r="C45" s="129">
        <f>C44</f>
        <v>239163.22499999998</v>
      </c>
      <c r="D45" s="129">
        <f t="shared" ref="D45:I45" si="20">C45+D44</f>
        <v>478326.44999999995</v>
      </c>
      <c r="E45" s="129">
        <f t="shared" si="20"/>
        <v>717489.67499999993</v>
      </c>
      <c r="F45" s="129">
        <f t="shared" si="20"/>
        <v>956652.89999999991</v>
      </c>
      <c r="G45" s="129">
        <f t="shared" si="20"/>
        <v>1195816.125</v>
      </c>
      <c r="H45" s="129">
        <f t="shared" si="20"/>
        <v>1434979.35</v>
      </c>
      <c r="I45" s="129">
        <f t="shared" si="20"/>
        <v>1674142.5750000002</v>
      </c>
      <c r="J45" s="125"/>
      <c r="K45" s="129">
        <f>K44</f>
        <v>566737.5</v>
      </c>
      <c r="L45" s="129">
        <f t="shared" ref="L45:Q45" si="21">K45+L44</f>
        <v>1048464.375</v>
      </c>
      <c r="M45" s="129">
        <f t="shared" si="21"/>
        <v>1457932.21875</v>
      </c>
      <c r="N45" s="129">
        <f t="shared" si="21"/>
        <v>1805979.8859375</v>
      </c>
      <c r="O45" s="129">
        <f t="shared" si="21"/>
        <v>2101820.4030468753</v>
      </c>
      <c r="P45" s="129">
        <f t="shared" si="21"/>
        <v>2353284.842589844</v>
      </c>
      <c r="Q45" s="129">
        <f t="shared" si="21"/>
        <v>2567029.6162013672</v>
      </c>
    </row>
    <row r="46" spans="1:17" x14ac:dyDescent="0.35">
      <c r="A46" s="127" t="s">
        <v>196</v>
      </c>
      <c r="B46" s="127"/>
      <c r="C46" s="129">
        <f t="shared" ref="C46:I46" si="22">C43-C44</f>
        <v>3539086.7749999999</v>
      </c>
      <c r="D46" s="129">
        <f t="shared" si="22"/>
        <v>3299923.55</v>
      </c>
      <c r="E46" s="129">
        <f t="shared" si="22"/>
        <v>3060760.3249999997</v>
      </c>
      <c r="F46" s="129">
        <f t="shared" si="22"/>
        <v>2821597.0999999996</v>
      </c>
      <c r="G46" s="129">
        <f t="shared" si="22"/>
        <v>2582433.8749999995</v>
      </c>
      <c r="H46" s="129">
        <f t="shared" si="22"/>
        <v>2343270.6499999994</v>
      </c>
      <c r="I46" s="129">
        <f t="shared" si="22"/>
        <v>2104107.4249999993</v>
      </c>
      <c r="J46" s="125"/>
      <c r="K46" s="129">
        <f t="shared" ref="K46:Q46" si="23">K43-K44</f>
        <v>3211512.5</v>
      </c>
      <c r="L46" s="129">
        <f t="shared" si="23"/>
        <v>2729785.625</v>
      </c>
      <c r="M46" s="129">
        <f t="shared" si="23"/>
        <v>2320317.78125</v>
      </c>
      <c r="N46" s="129">
        <f t="shared" si="23"/>
        <v>1972270.1140625</v>
      </c>
      <c r="O46" s="129">
        <f t="shared" si="23"/>
        <v>1676429.596953125</v>
      </c>
      <c r="P46" s="129">
        <f t="shared" si="23"/>
        <v>1424965.1574101562</v>
      </c>
      <c r="Q46" s="129">
        <f t="shared" si="23"/>
        <v>1211220.3837986328</v>
      </c>
    </row>
    <row r="47" spans="1:17" x14ac:dyDescent="0.35">
      <c r="A47" s="127"/>
      <c r="B47" s="127"/>
      <c r="C47" s="129"/>
      <c r="D47" s="129"/>
      <c r="E47" s="129"/>
      <c r="F47" s="129"/>
      <c r="G47" s="129"/>
      <c r="H47" s="129"/>
      <c r="I47" s="129"/>
      <c r="J47" s="125"/>
      <c r="K47" s="129"/>
      <c r="L47" s="129"/>
      <c r="M47" s="129"/>
      <c r="N47" s="129"/>
      <c r="O47" s="129"/>
      <c r="P47" s="129"/>
      <c r="Q47" s="129"/>
    </row>
    <row r="48" spans="1:17" x14ac:dyDescent="0.35">
      <c r="A48" s="128" t="s">
        <v>199</v>
      </c>
      <c r="B48" s="128"/>
      <c r="C48" s="129"/>
      <c r="D48" s="129"/>
      <c r="E48" s="129"/>
      <c r="F48" s="129"/>
      <c r="G48" s="129"/>
      <c r="H48" s="129"/>
      <c r="I48" s="129"/>
      <c r="J48" s="125"/>
      <c r="K48" s="129"/>
      <c r="L48" s="129"/>
      <c r="M48" s="129"/>
      <c r="N48" s="129"/>
      <c r="O48" s="129"/>
      <c r="P48" s="129"/>
      <c r="Q48" s="129"/>
    </row>
    <row r="49" spans="1:17" x14ac:dyDescent="0.35">
      <c r="A49" s="127" t="s">
        <v>194</v>
      </c>
      <c r="B49" s="127"/>
      <c r="C49" s="129">
        <f>'1.Project Cost and MOF'!D8</f>
        <v>751422</v>
      </c>
      <c r="D49" s="129">
        <f t="shared" ref="D49:I49" si="24">C52</f>
        <v>676279.8</v>
      </c>
      <c r="E49" s="129">
        <f t="shared" si="24"/>
        <v>601137.60000000009</v>
      </c>
      <c r="F49" s="129">
        <f t="shared" si="24"/>
        <v>525995.40000000014</v>
      </c>
      <c r="G49" s="129">
        <f t="shared" si="24"/>
        <v>450853.20000000013</v>
      </c>
      <c r="H49" s="129">
        <f t="shared" si="24"/>
        <v>375711.00000000012</v>
      </c>
      <c r="I49" s="129">
        <f t="shared" si="24"/>
        <v>300568.8000000001</v>
      </c>
      <c r="J49" s="125"/>
      <c r="K49" s="129">
        <f>C49</f>
        <v>751422</v>
      </c>
      <c r="L49" s="129">
        <f t="shared" ref="L49:Q49" si="25">K52</f>
        <v>676279.8</v>
      </c>
      <c r="M49" s="129">
        <f t="shared" si="25"/>
        <v>608651.82000000007</v>
      </c>
      <c r="N49" s="129">
        <f t="shared" si="25"/>
        <v>547786.63800000004</v>
      </c>
      <c r="O49" s="129">
        <f t="shared" si="25"/>
        <v>493007.97420000006</v>
      </c>
      <c r="P49" s="129">
        <f t="shared" si="25"/>
        <v>443707.17678000004</v>
      </c>
      <c r="Q49" s="129">
        <f t="shared" si="25"/>
        <v>399336.45910200005</v>
      </c>
    </row>
    <row r="50" spans="1:17" x14ac:dyDescent="0.35">
      <c r="A50" s="127" t="s">
        <v>17</v>
      </c>
      <c r="B50" s="127"/>
      <c r="C50" s="129">
        <f t="shared" ref="C50:I50" si="26">$C$49*$B$75</f>
        <v>75142.2</v>
      </c>
      <c r="D50" s="129">
        <f t="shared" si="26"/>
        <v>75142.2</v>
      </c>
      <c r="E50" s="129">
        <f t="shared" si="26"/>
        <v>75142.2</v>
      </c>
      <c r="F50" s="129">
        <f t="shared" si="26"/>
        <v>75142.2</v>
      </c>
      <c r="G50" s="129">
        <f t="shared" si="26"/>
        <v>75142.2</v>
      </c>
      <c r="H50" s="129">
        <f t="shared" si="26"/>
        <v>75142.2</v>
      </c>
      <c r="I50" s="129">
        <f t="shared" si="26"/>
        <v>75142.2</v>
      </c>
      <c r="J50" s="125"/>
      <c r="K50" s="129">
        <f t="shared" ref="K50:Q50" si="27">K49*$C$75</f>
        <v>75142.2</v>
      </c>
      <c r="L50" s="129">
        <f t="shared" si="27"/>
        <v>67627.98000000001</v>
      </c>
      <c r="M50" s="129">
        <f t="shared" si="27"/>
        <v>60865.182000000008</v>
      </c>
      <c r="N50" s="129">
        <f t="shared" si="27"/>
        <v>54778.663800000009</v>
      </c>
      <c r="O50" s="129">
        <f t="shared" si="27"/>
        <v>49300.79742000001</v>
      </c>
      <c r="P50" s="129">
        <f t="shared" si="27"/>
        <v>44370.717678000008</v>
      </c>
      <c r="Q50" s="129">
        <f t="shared" si="27"/>
        <v>39933.645910200008</v>
      </c>
    </row>
    <row r="51" spans="1:17" x14ac:dyDescent="0.35">
      <c r="A51" s="127" t="s">
        <v>195</v>
      </c>
      <c r="B51" s="127"/>
      <c r="C51" s="129">
        <f>C50</f>
        <v>75142.2</v>
      </c>
      <c r="D51" s="129">
        <f t="shared" ref="D51:I51" si="28">C51+D50</f>
        <v>150284.4</v>
      </c>
      <c r="E51" s="129">
        <f t="shared" si="28"/>
        <v>225426.59999999998</v>
      </c>
      <c r="F51" s="129">
        <f t="shared" si="28"/>
        <v>300568.8</v>
      </c>
      <c r="G51" s="129">
        <f t="shared" si="28"/>
        <v>375711</v>
      </c>
      <c r="H51" s="129">
        <f t="shared" si="28"/>
        <v>450853.2</v>
      </c>
      <c r="I51" s="129">
        <f t="shared" si="28"/>
        <v>525995.4</v>
      </c>
      <c r="J51" s="125"/>
      <c r="K51" s="129">
        <f>K50</f>
        <v>75142.2</v>
      </c>
      <c r="L51" s="129">
        <f t="shared" ref="L51:Q51" si="29">K51+L50</f>
        <v>142770.18</v>
      </c>
      <c r="M51" s="129">
        <f t="shared" si="29"/>
        <v>203635.36199999999</v>
      </c>
      <c r="N51" s="129">
        <f t="shared" si="29"/>
        <v>258414.0258</v>
      </c>
      <c r="O51" s="129">
        <f t="shared" si="29"/>
        <v>307714.82322000002</v>
      </c>
      <c r="P51" s="129">
        <f t="shared" si="29"/>
        <v>352085.54089800001</v>
      </c>
      <c r="Q51" s="129">
        <f t="shared" si="29"/>
        <v>392019.18680820003</v>
      </c>
    </row>
    <row r="52" spans="1:17" x14ac:dyDescent="0.35">
      <c r="A52" s="127" t="s">
        <v>196</v>
      </c>
      <c r="B52" s="127"/>
      <c r="C52" s="129">
        <f t="shared" ref="C52:I52" si="30">C49-C50</f>
        <v>676279.8</v>
      </c>
      <c r="D52" s="129">
        <f t="shared" si="30"/>
        <v>601137.60000000009</v>
      </c>
      <c r="E52" s="129">
        <f t="shared" si="30"/>
        <v>525995.40000000014</v>
      </c>
      <c r="F52" s="129">
        <f t="shared" si="30"/>
        <v>450853.20000000013</v>
      </c>
      <c r="G52" s="129">
        <f t="shared" si="30"/>
        <v>375711.00000000012</v>
      </c>
      <c r="H52" s="129">
        <f t="shared" si="30"/>
        <v>300568.8000000001</v>
      </c>
      <c r="I52" s="129">
        <f t="shared" si="30"/>
        <v>225426.60000000009</v>
      </c>
      <c r="J52" s="125"/>
      <c r="K52" s="129">
        <f t="shared" ref="K52:Q52" si="31">K49-K50</f>
        <v>676279.8</v>
      </c>
      <c r="L52" s="129">
        <f t="shared" si="31"/>
        <v>608651.82000000007</v>
      </c>
      <c r="M52" s="129">
        <f t="shared" si="31"/>
        <v>547786.63800000004</v>
      </c>
      <c r="N52" s="129">
        <f t="shared" si="31"/>
        <v>493007.97420000006</v>
      </c>
      <c r="O52" s="129">
        <f t="shared" si="31"/>
        <v>443707.17678000004</v>
      </c>
      <c r="P52" s="129">
        <f t="shared" si="31"/>
        <v>399336.45910200005</v>
      </c>
      <c r="Q52" s="129">
        <f t="shared" si="31"/>
        <v>359402.81319180003</v>
      </c>
    </row>
    <row r="53" spans="1:17" x14ac:dyDescent="0.35">
      <c r="A53" s="127"/>
      <c r="B53" s="127"/>
      <c r="C53" s="129"/>
      <c r="D53" s="129"/>
      <c r="E53" s="129"/>
      <c r="F53" s="129"/>
      <c r="G53" s="129"/>
      <c r="H53" s="129"/>
      <c r="I53" s="129"/>
      <c r="J53" s="125"/>
      <c r="K53" s="129"/>
      <c r="L53" s="129"/>
      <c r="M53" s="129"/>
      <c r="N53" s="129"/>
      <c r="O53" s="129"/>
      <c r="P53" s="129"/>
      <c r="Q53" s="129"/>
    </row>
    <row r="54" spans="1:17" hidden="1" x14ac:dyDescent="0.35">
      <c r="A54" s="128" t="s">
        <v>155</v>
      </c>
      <c r="B54" s="128"/>
      <c r="C54" s="129"/>
      <c r="D54" s="129"/>
      <c r="E54" s="129"/>
      <c r="F54" s="129"/>
      <c r="G54" s="129"/>
      <c r="H54" s="129"/>
      <c r="I54" s="129"/>
      <c r="J54" s="125"/>
      <c r="K54" s="129"/>
      <c r="L54" s="129"/>
      <c r="M54" s="129"/>
      <c r="N54" s="129"/>
      <c r="O54" s="129"/>
      <c r="P54" s="129"/>
      <c r="Q54" s="129"/>
    </row>
    <row r="55" spans="1:17" hidden="1" x14ac:dyDescent="0.35">
      <c r="A55" s="127" t="s">
        <v>194</v>
      </c>
      <c r="B55" s="127"/>
      <c r="C55" s="129">
        <f>'1.Project Cost and MOF'!D10</f>
        <v>0</v>
      </c>
      <c r="D55" s="129">
        <f t="shared" ref="D55:I55" si="32">C58</f>
        <v>0</v>
      </c>
      <c r="E55" s="129">
        <f t="shared" si="32"/>
        <v>0</v>
      </c>
      <c r="F55" s="129">
        <f t="shared" si="32"/>
        <v>0</v>
      </c>
      <c r="G55" s="129">
        <f t="shared" si="32"/>
        <v>0</v>
      </c>
      <c r="H55" s="129">
        <f t="shared" si="32"/>
        <v>0</v>
      </c>
      <c r="I55" s="129">
        <f t="shared" si="32"/>
        <v>0</v>
      </c>
      <c r="J55" s="125"/>
      <c r="K55" s="129">
        <f>C55</f>
        <v>0</v>
      </c>
      <c r="L55" s="129">
        <f t="shared" ref="L55:Q55" si="33">K58</f>
        <v>0</v>
      </c>
      <c r="M55" s="129">
        <f t="shared" si="33"/>
        <v>0</v>
      </c>
      <c r="N55" s="129">
        <f t="shared" si="33"/>
        <v>0</v>
      </c>
      <c r="O55" s="129">
        <f t="shared" si="33"/>
        <v>0</v>
      </c>
      <c r="P55" s="129">
        <f t="shared" si="33"/>
        <v>0</v>
      </c>
      <c r="Q55" s="129">
        <f t="shared" si="33"/>
        <v>0</v>
      </c>
    </row>
    <row r="56" spans="1:17" hidden="1" x14ac:dyDescent="0.35">
      <c r="A56" s="127" t="s">
        <v>17</v>
      </c>
      <c r="B56" s="127"/>
      <c r="C56" s="129">
        <f t="shared" ref="C56:I56" si="34">$C$55*$B$77</f>
        <v>0</v>
      </c>
      <c r="D56" s="129">
        <f t="shared" si="34"/>
        <v>0</v>
      </c>
      <c r="E56" s="129">
        <f t="shared" si="34"/>
        <v>0</v>
      </c>
      <c r="F56" s="129">
        <f t="shared" si="34"/>
        <v>0</v>
      </c>
      <c r="G56" s="129">
        <f t="shared" si="34"/>
        <v>0</v>
      </c>
      <c r="H56" s="129">
        <f t="shared" si="34"/>
        <v>0</v>
      </c>
      <c r="I56" s="129">
        <f t="shared" si="34"/>
        <v>0</v>
      </c>
      <c r="J56" s="125"/>
      <c r="K56" s="129">
        <f t="shared" ref="K56:Q56" si="35">K55*$C$77</f>
        <v>0</v>
      </c>
      <c r="L56" s="129">
        <f t="shared" si="35"/>
        <v>0</v>
      </c>
      <c r="M56" s="129">
        <f t="shared" si="35"/>
        <v>0</v>
      </c>
      <c r="N56" s="129">
        <f t="shared" si="35"/>
        <v>0</v>
      </c>
      <c r="O56" s="129">
        <f t="shared" si="35"/>
        <v>0</v>
      </c>
      <c r="P56" s="129">
        <f t="shared" si="35"/>
        <v>0</v>
      </c>
      <c r="Q56" s="129">
        <f t="shared" si="35"/>
        <v>0</v>
      </c>
    </row>
    <row r="57" spans="1:17" hidden="1" x14ac:dyDescent="0.35">
      <c r="A57" s="127" t="s">
        <v>195</v>
      </c>
      <c r="B57" s="127"/>
      <c r="C57" s="129">
        <f>C56</f>
        <v>0</v>
      </c>
      <c r="D57" s="129">
        <f t="shared" ref="D57:I57" si="36">C57+D56</f>
        <v>0</v>
      </c>
      <c r="E57" s="129">
        <f t="shared" si="36"/>
        <v>0</v>
      </c>
      <c r="F57" s="129">
        <f t="shared" si="36"/>
        <v>0</v>
      </c>
      <c r="G57" s="129">
        <f t="shared" si="36"/>
        <v>0</v>
      </c>
      <c r="H57" s="129">
        <f t="shared" si="36"/>
        <v>0</v>
      </c>
      <c r="I57" s="129">
        <f t="shared" si="36"/>
        <v>0</v>
      </c>
      <c r="J57" s="125"/>
      <c r="K57" s="129">
        <f>K56</f>
        <v>0</v>
      </c>
      <c r="L57" s="129">
        <f t="shared" ref="L57:Q57" si="37">K57+L56</f>
        <v>0</v>
      </c>
      <c r="M57" s="129">
        <f t="shared" si="37"/>
        <v>0</v>
      </c>
      <c r="N57" s="129">
        <f t="shared" si="37"/>
        <v>0</v>
      </c>
      <c r="O57" s="129">
        <f t="shared" si="37"/>
        <v>0</v>
      </c>
      <c r="P57" s="129">
        <f t="shared" si="37"/>
        <v>0</v>
      </c>
      <c r="Q57" s="129">
        <f t="shared" si="37"/>
        <v>0</v>
      </c>
    </row>
    <row r="58" spans="1:17" hidden="1" x14ac:dyDescent="0.35">
      <c r="A58" s="127" t="s">
        <v>196</v>
      </c>
      <c r="B58" s="127"/>
      <c r="C58" s="129">
        <f t="shared" ref="C58:I58" si="38">C55-C56</f>
        <v>0</v>
      </c>
      <c r="D58" s="129">
        <f t="shared" si="38"/>
        <v>0</v>
      </c>
      <c r="E58" s="129">
        <f t="shared" si="38"/>
        <v>0</v>
      </c>
      <c r="F58" s="129">
        <f t="shared" si="38"/>
        <v>0</v>
      </c>
      <c r="G58" s="129">
        <f t="shared" si="38"/>
        <v>0</v>
      </c>
      <c r="H58" s="129">
        <f t="shared" si="38"/>
        <v>0</v>
      </c>
      <c r="I58" s="129">
        <f t="shared" si="38"/>
        <v>0</v>
      </c>
      <c r="J58" s="125"/>
      <c r="K58" s="129">
        <f t="shared" ref="K58:Q58" si="39">K55-K56</f>
        <v>0</v>
      </c>
      <c r="L58" s="129">
        <f t="shared" si="39"/>
        <v>0</v>
      </c>
      <c r="M58" s="129">
        <f t="shared" si="39"/>
        <v>0</v>
      </c>
      <c r="N58" s="129">
        <f t="shared" si="39"/>
        <v>0</v>
      </c>
      <c r="O58" s="129">
        <f t="shared" si="39"/>
        <v>0</v>
      </c>
      <c r="P58" s="129">
        <f t="shared" si="39"/>
        <v>0</v>
      </c>
      <c r="Q58" s="129">
        <f t="shared" si="39"/>
        <v>0</v>
      </c>
    </row>
    <row r="59" spans="1:17" hidden="1" x14ac:dyDescent="0.35">
      <c r="A59" s="127"/>
      <c r="B59" s="127"/>
      <c r="C59" s="129"/>
      <c r="D59" s="129"/>
      <c r="E59" s="129"/>
      <c r="F59" s="129"/>
      <c r="G59" s="129"/>
      <c r="H59" s="129"/>
      <c r="I59" s="129"/>
      <c r="J59" s="125"/>
      <c r="K59" s="129"/>
      <c r="L59" s="129"/>
      <c r="M59" s="129"/>
      <c r="N59" s="129"/>
      <c r="O59" s="129"/>
      <c r="P59" s="129"/>
      <c r="Q59" s="129"/>
    </row>
    <row r="60" spans="1:17" x14ac:dyDescent="0.35">
      <c r="A60" s="130" t="s">
        <v>326</v>
      </c>
      <c r="B60" s="127"/>
      <c r="C60" s="129"/>
      <c r="D60" s="129"/>
      <c r="E60" s="129"/>
      <c r="F60" s="129"/>
      <c r="G60" s="129"/>
      <c r="H60" s="129"/>
      <c r="I60" s="129"/>
      <c r="J60" s="125"/>
      <c r="K60" s="129"/>
      <c r="L60" s="129"/>
      <c r="M60" s="129"/>
      <c r="N60" s="129"/>
      <c r="O60" s="129"/>
      <c r="P60" s="129"/>
      <c r="Q60" s="129"/>
    </row>
    <row r="61" spans="1:17" x14ac:dyDescent="0.35">
      <c r="A61" s="127" t="str">
        <f>A55</f>
        <v>Asset Value</v>
      </c>
      <c r="B61" s="127"/>
      <c r="C61" s="129">
        <f>'1.Project Cost and MOF'!D9</f>
        <v>695211</v>
      </c>
      <c r="D61" s="129">
        <f t="shared" ref="D61:I61" si="40">C64</f>
        <v>625689.9</v>
      </c>
      <c r="E61" s="129">
        <f t="shared" si="40"/>
        <v>556168.80000000005</v>
      </c>
      <c r="F61" s="129">
        <f t="shared" si="40"/>
        <v>486647.70000000007</v>
      </c>
      <c r="G61" s="129">
        <f t="shared" si="40"/>
        <v>417126.60000000009</v>
      </c>
      <c r="H61" s="129">
        <f t="shared" si="40"/>
        <v>347605.50000000012</v>
      </c>
      <c r="I61" s="129">
        <f t="shared" si="40"/>
        <v>278084.40000000014</v>
      </c>
      <c r="J61" s="125"/>
      <c r="K61" s="129">
        <f>C61</f>
        <v>695211</v>
      </c>
      <c r="L61" s="129">
        <f t="shared" ref="L61:Q61" si="41">K64</f>
        <v>417126.6</v>
      </c>
      <c r="M61" s="129">
        <f t="shared" si="41"/>
        <v>250275.95999999996</v>
      </c>
      <c r="N61" s="129">
        <f t="shared" si="41"/>
        <v>150165.57599999997</v>
      </c>
      <c r="O61" s="129">
        <f t="shared" si="41"/>
        <v>90099.345599999971</v>
      </c>
      <c r="P61" s="129">
        <f t="shared" si="41"/>
        <v>54059.60735999998</v>
      </c>
      <c r="Q61" s="129">
        <f t="shared" si="41"/>
        <v>32435.764415999987</v>
      </c>
    </row>
    <row r="62" spans="1:17" x14ac:dyDescent="0.35">
      <c r="A62" s="127" t="str">
        <f>A56</f>
        <v>Depreciation</v>
      </c>
      <c r="B62" s="127"/>
      <c r="C62" s="129">
        <f t="shared" ref="C62:I62" si="42">$C$61*$B$76</f>
        <v>69521.100000000006</v>
      </c>
      <c r="D62" s="129">
        <f t="shared" si="42"/>
        <v>69521.100000000006</v>
      </c>
      <c r="E62" s="129">
        <f t="shared" si="42"/>
        <v>69521.100000000006</v>
      </c>
      <c r="F62" s="129">
        <f t="shared" si="42"/>
        <v>69521.100000000006</v>
      </c>
      <c r="G62" s="129">
        <f t="shared" si="42"/>
        <v>69521.100000000006</v>
      </c>
      <c r="H62" s="129">
        <f t="shared" si="42"/>
        <v>69521.100000000006</v>
      </c>
      <c r="I62" s="129">
        <f t="shared" si="42"/>
        <v>69521.100000000006</v>
      </c>
      <c r="J62" s="125"/>
      <c r="K62" s="129">
        <f t="shared" ref="K62:Q62" si="43">K61*$C$76</f>
        <v>278084.40000000002</v>
      </c>
      <c r="L62" s="129">
        <f t="shared" si="43"/>
        <v>166850.64000000001</v>
      </c>
      <c r="M62" s="129">
        <f t="shared" si="43"/>
        <v>100110.38399999999</v>
      </c>
      <c r="N62" s="129">
        <f t="shared" si="43"/>
        <v>60066.230399999993</v>
      </c>
      <c r="O62" s="129">
        <f t="shared" si="43"/>
        <v>36039.738239999991</v>
      </c>
      <c r="P62" s="129">
        <f t="shared" si="43"/>
        <v>21623.842943999993</v>
      </c>
      <c r="Q62" s="129">
        <f t="shared" si="43"/>
        <v>12974.305766399995</v>
      </c>
    </row>
    <row r="63" spans="1:17" x14ac:dyDescent="0.35">
      <c r="A63" s="127" t="str">
        <f>A57</f>
        <v>Accumulated Depreciation</v>
      </c>
      <c r="B63" s="127"/>
      <c r="C63" s="129">
        <f>C62</f>
        <v>69521.100000000006</v>
      </c>
      <c r="D63" s="129">
        <f t="shared" ref="D63:I63" si="44">D62+C63</f>
        <v>139042.20000000001</v>
      </c>
      <c r="E63" s="129">
        <f t="shared" si="44"/>
        <v>208563.30000000002</v>
      </c>
      <c r="F63" s="129">
        <f t="shared" si="44"/>
        <v>278084.40000000002</v>
      </c>
      <c r="G63" s="129">
        <f t="shared" si="44"/>
        <v>347605.5</v>
      </c>
      <c r="H63" s="129">
        <f t="shared" si="44"/>
        <v>417126.6</v>
      </c>
      <c r="I63" s="129">
        <f t="shared" si="44"/>
        <v>486647.69999999995</v>
      </c>
      <c r="J63" s="125"/>
      <c r="K63" s="129">
        <f>K62</f>
        <v>278084.40000000002</v>
      </c>
      <c r="L63" s="129">
        <f t="shared" ref="L63:Q63" si="45">L62+K63</f>
        <v>444935.04000000004</v>
      </c>
      <c r="M63" s="129">
        <f t="shared" si="45"/>
        <v>545045.424</v>
      </c>
      <c r="N63" s="129">
        <f t="shared" si="45"/>
        <v>605111.6544</v>
      </c>
      <c r="O63" s="129">
        <f t="shared" si="45"/>
        <v>641151.39263999998</v>
      </c>
      <c r="P63" s="129">
        <f t="shared" si="45"/>
        <v>662775.23558400001</v>
      </c>
      <c r="Q63" s="129">
        <f t="shared" si="45"/>
        <v>675749.54135039996</v>
      </c>
    </row>
    <row r="64" spans="1:17" x14ac:dyDescent="0.35">
      <c r="A64" s="127" t="str">
        <f>A58</f>
        <v>Net Fixed Assets</v>
      </c>
      <c r="B64" s="127"/>
      <c r="C64" s="129">
        <f t="shared" ref="C64:I64" si="46">C61-C62</f>
        <v>625689.9</v>
      </c>
      <c r="D64" s="129">
        <f t="shared" si="46"/>
        <v>556168.80000000005</v>
      </c>
      <c r="E64" s="129">
        <f t="shared" si="46"/>
        <v>486647.70000000007</v>
      </c>
      <c r="F64" s="129">
        <f t="shared" si="46"/>
        <v>417126.60000000009</v>
      </c>
      <c r="G64" s="129">
        <f t="shared" si="46"/>
        <v>347605.50000000012</v>
      </c>
      <c r="H64" s="129">
        <f t="shared" si="46"/>
        <v>278084.40000000014</v>
      </c>
      <c r="I64" s="129">
        <f t="shared" si="46"/>
        <v>208563.30000000013</v>
      </c>
      <c r="J64" s="125"/>
      <c r="K64" s="129">
        <f t="shared" ref="K64:Q64" si="47">K61-K62</f>
        <v>417126.6</v>
      </c>
      <c r="L64" s="129">
        <f t="shared" si="47"/>
        <v>250275.95999999996</v>
      </c>
      <c r="M64" s="129">
        <f t="shared" si="47"/>
        <v>150165.57599999997</v>
      </c>
      <c r="N64" s="129">
        <f t="shared" si="47"/>
        <v>90099.345599999971</v>
      </c>
      <c r="O64" s="129">
        <f t="shared" si="47"/>
        <v>54059.60735999998</v>
      </c>
      <c r="P64" s="129">
        <f t="shared" si="47"/>
        <v>32435.764415999987</v>
      </c>
      <c r="Q64" s="129">
        <f t="shared" si="47"/>
        <v>19461.45864959999</v>
      </c>
    </row>
    <row r="65" spans="1:17" x14ac:dyDescent="0.35">
      <c r="A65" s="128" t="s">
        <v>200</v>
      </c>
      <c r="B65" s="128"/>
      <c r="C65" s="131">
        <f t="shared" ref="C65:I68" si="48">C49+C43+C37+C55+C61</f>
        <v>18087883</v>
      </c>
      <c r="D65" s="131">
        <f t="shared" si="48"/>
        <v>17296299.375</v>
      </c>
      <c r="E65" s="131">
        <f t="shared" si="48"/>
        <v>16504715.750000002</v>
      </c>
      <c r="F65" s="131">
        <f t="shared" si="48"/>
        <v>15713132.125</v>
      </c>
      <c r="G65" s="131">
        <f t="shared" si="48"/>
        <v>14921548.500000002</v>
      </c>
      <c r="H65" s="131">
        <f t="shared" si="48"/>
        <v>14129964.875000002</v>
      </c>
      <c r="I65" s="131">
        <f t="shared" si="48"/>
        <v>13338381.250000002</v>
      </c>
      <c r="J65" s="125"/>
      <c r="K65" s="131">
        <f t="shared" ref="K65:Q68" si="49">K49+K43+K37+K55+K61</f>
        <v>18087883</v>
      </c>
      <c r="L65" s="131">
        <f t="shared" si="49"/>
        <v>15881618.9</v>
      </c>
      <c r="M65" s="131">
        <f t="shared" si="49"/>
        <v>14007743.405000001</v>
      </c>
      <c r="N65" s="131">
        <f t="shared" si="49"/>
        <v>12395396.99525</v>
      </c>
      <c r="O65" s="131">
        <f t="shared" si="49"/>
        <v>10994791.733862501</v>
      </c>
      <c r="P65" s="131">
        <f t="shared" si="49"/>
        <v>9769669.251093125</v>
      </c>
      <c r="Q65" s="131">
        <f t="shared" si="49"/>
        <v>8692662.9639281575</v>
      </c>
    </row>
    <row r="66" spans="1:17" x14ac:dyDescent="0.35">
      <c r="A66" s="128" t="s">
        <v>201</v>
      </c>
      <c r="B66" s="128"/>
      <c r="C66" s="131">
        <f t="shared" si="48"/>
        <v>791583.62499999988</v>
      </c>
      <c r="D66" s="131">
        <f t="shared" si="48"/>
        <v>791583.62499999988</v>
      </c>
      <c r="E66" s="131">
        <f t="shared" si="48"/>
        <v>791583.62499999988</v>
      </c>
      <c r="F66" s="131">
        <f t="shared" si="48"/>
        <v>791583.62499999988</v>
      </c>
      <c r="G66" s="131">
        <f t="shared" si="48"/>
        <v>791583.62499999988</v>
      </c>
      <c r="H66" s="131">
        <f t="shared" si="48"/>
        <v>791583.62499999988</v>
      </c>
      <c r="I66" s="131">
        <f t="shared" si="48"/>
        <v>791583.62499999988</v>
      </c>
      <c r="J66" s="125"/>
      <c r="K66" s="131">
        <f t="shared" si="49"/>
        <v>2206264.1</v>
      </c>
      <c r="L66" s="131">
        <f t="shared" si="49"/>
        <v>1873875.4950000001</v>
      </c>
      <c r="M66" s="131">
        <f t="shared" si="49"/>
        <v>1612346.4097500001</v>
      </c>
      <c r="N66" s="131">
        <f t="shared" si="49"/>
        <v>1400605.2613875002</v>
      </c>
      <c r="O66" s="131">
        <f t="shared" si="49"/>
        <v>1225122.4827693752</v>
      </c>
      <c r="P66" s="131">
        <f t="shared" si="49"/>
        <v>1077006.2871649689</v>
      </c>
      <c r="Q66" s="131">
        <f t="shared" si="49"/>
        <v>950245.28358812351</v>
      </c>
    </row>
    <row r="67" spans="1:17" x14ac:dyDescent="0.35">
      <c r="A67" s="128" t="s">
        <v>202</v>
      </c>
      <c r="B67" s="128"/>
      <c r="C67" s="131">
        <f t="shared" si="48"/>
        <v>791583.62499999988</v>
      </c>
      <c r="D67" s="131">
        <f t="shared" si="48"/>
        <v>1583167.2499999998</v>
      </c>
      <c r="E67" s="131">
        <f t="shared" si="48"/>
        <v>2374750.8749999995</v>
      </c>
      <c r="F67" s="131">
        <f t="shared" si="48"/>
        <v>3166334.4999999995</v>
      </c>
      <c r="G67" s="131">
        <f t="shared" si="48"/>
        <v>3957918.125</v>
      </c>
      <c r="H67" s="131">
        <f t="shared" si="48"/>
        <v>4749501.75</v>
      </c>
      <c r="I67" s="131">
        <f t="shared" si="48"/>
        <v>5541085.3750000009</v>
      </c>
      <c r="J67" s="125"/>
      <c r="K67" s="131">
        <f t="shared" si="49"/>
        <v>2206264.1</v>
      </c>
      <c r="L67" s="131">
        <f t="shared" si="49"/>
        <v>4080139.5949999997</v>
      </c>
      <c r="M67" s="131">
        <f t="shared" si="49"/>
        <v>5692486.0047499994</v>
      </c>
      <c r="N67" s="131">
        <f t="shared" si="49"/>
        <v>7093091.2661375003</v>
      </c>
      <c r="O67" s="131">
        <f t="shared" si="49"/>
        <v>8318213.7489068769</v>
      </c>
      <c r="P67" s="131">
        <f t="shared" si="49"/>
        <v>9395220.0360718463</v>
      </c>
      <c r="Q67" s="131">
        <f t="shared" si="49"/>
        <v>10345465.319659969</v>
      </c>
    </row>
    <row r="68" spans="1:17" x14ac:dyDescent="0.35">
      <c r="A68" s="128" t="s">
        <v>196</v>
      </c>
      <c r="B68" s="128"/>
      <c r="C68" s="131">
        <f t="shared" si="48"/>
        <v>17296299.375</v>
      </c>
      <c r="D68" s="131">
        <f t="shared" si="48"/>
        <v>16504715.750000002</v>
      </c>
      <c r="E68" s="131">
        <f t="shared" si="48"/>
        <v>15713132.125</v>
      </c>
      <c r="F68" s="131">
        <f t="shared" si="48"/>
        <v>14921548.500000002</v>
      </c>
      <c r="G68" s="131">
        <f t="shared" si="48"/>
        <v>14129964.875000002</v>
      </c>
      <c r="H68" s="131">
        <f t="shared" si="48"/>
        <v>13338381.250000002</v>
      </c>
      <c r="I68" s="131">
        <f t="shared" si="48"/>
        <v>12546797.625000004</v>
      </c>
      <c r="J68" s="125"/>
      <c r="K68" s="131">
        <f t="shared" si="49"/>
        <v>15881618.9</v>
      </c>
      <c r="L68" s="131">
        <f t="shared" si="49"/>
        <v>14007743.405000001</v>
      </c>
      <c r="M68" s="131">
        <f t="shared" si="49"/>
        <v>12395396.99525</v>
      </c>
      <c r="N68" s="131">
        <f t="shared" si="49"/>
        <v>10994791.733862501</v>
      </c>
      <c r="O68" s="131">
        <f t="shared" si="49"/>
        <v>9769669.251093125</v>
      </c>
      <c r="P68" s="131">
        <f t="shared" si="49"/>
        <v>8692662.9639281575</v>
      </c>
      <c r="Q68" s="131">
        <f t="shared" si="49"/>
        <v>7742417.680340033</v>
      </c>
    </row>
    <row r="69" spans="1:17" x14ac:dyDescent="0.35">
      <c r="A69" s="132"/>
      <c r="B69" s="132"/>
      <c r="C69" s="133"/>
      <c r="D69" s="133"/>
      <c r="E69" s="133"/>
      <c r="F69" s="133"/>
      <c r="G69" s="133"/>
      <c r="H69" s="133"/>
      <c r="I69" s="133"/>
    </row>
    <row r="71" spans="1:17" ht="29" x14ac:dyDescent="0.35">
      <c r="A71" s="134" t="s">
        <v>203</v>
      </c>
      <c r="B71" s="135" t="s">
        <v>204</v>
      </c>
      <c r="C71" s="136" t="s">
        <v>205</v>
      </c>
    </row>
    <row r="72" spans="1:17" ht="29" x14ac:dyDescent="0.35">
      <c r="A72" s="137" t="s">
        <v>206</v>
      </c>
      <c r="B72" s="135" t="s">
        <v>207</v>
      </c>
      <c r="C72" s="136" t="s">
        <v>208</v>
      </c>
    </row>
    <row r="73" spans="1:17" x14ac:dyDescent="0.35">
      <c r="A73" s="137" t="s">
        <v>146</v>
      </c>
      <c r="B73" s="138">
        <v>0</v>
      </c>
      <c r="C73" s="138">
        <v>0</v>
      </c>
    </row>
    <row r="74" spans="1:17" x14ac:dyDescent="0.35">
      <c r="A74" s="139" t="s">
        <v>197</v>
      </c>
      <c r="B74" s="138">
        <v>3.1699999999999999E-2</v>
      </c>
      <c r="C74" s="138">
        <v>0.1</v>
      </c>
      <c r="D74" s="108"/>
    </row>
    <row r="75" spans="1:17" x14ac:dyDescent="0.35">
      <c r="A75" s="139" t="s">
        <v>199</v>
      </c>
      <c r="B75" s="140">
        <v>0.1</v>
      </c>
      <c r="C75" s="138">
        <v>0.1</v>
      </c>
    </row>
    <row r="76" spans="1:17" x14ac:dyDescent="0.35">
      <c r="A76" s="107" t="s">
        <v>209</v>
      </c>
      <c r="B76" s="140">
        <v>0.1</v>
      </c>
      <c r="C76" s="140">
        <v>0.4</v>
      </c>
    </row>
    <row r="77" spans="1:17" x14ac:dyDescent="0.35">
      <c r="A77" s="107" t="s">
        <v>274</v>
      </c>
      <c r="B77" s="140">
        <v>0.1188</v>
      </c>
      <c r="C77" s="140">
        <v>0.15</v>
      </c>
    </row>
    <row r="78" spans="1:17" x14ac:dyDescent="0.35">
      <c r="A78" s="139" t="s">
        <v>210</v>
      </c>
      <c r="B78" s="140">
        <v>6.3299999999999995E-2</v>
      </c>
      <c r="C78" s="140">
        <v>0.15</v>
      </c>
    </row>
    <row r="79" spans="1:17" ht="29" x14ac:dyDescent="0.35">
      <c r="A79" s="137" t="s">
        <v>203</v>
      </c>
      <c r="B79" s="138"/>
      <c r="C79" s="141"/>
    </row>
    <row r="80" spans="1:17" x14ac:dyDescent="0.35">
      <c r="A80" s="139" t="s">
        <v>211</v>
      </c>
      <c r="B80" s="141">
        <v>0.2</v>
      </c>
      <c r="C80" s="142">
        <v>0.2</v>
      </c>
    </row>
    <row r="82" spans="1:12" x14ac:dyDescent="0.35">
      <c r="E82" s="143"/>
    </row>
    <row r="83" spans="1:12" s="144" customFormat="1" x14ac:dyDescent="0.35">
      <c r="A83" s="423" t="s">
        <v>696</v>
      </c>
      <c r="B83" s="423"/>
      <c r="C83" s="423"/>
      <c r="D83" s="423"/>
      <c r="E83" s="423"/>
      <c r="F83" s="423"/>
      <c r="G83" s="423"/>
      <c r="H83" s="423"/>
      <c r="I83" s="423"/>
      <c r="J83" s="423"/>
    </row>
    <row r="84" spans="1:12" s="144" customFormat="1" x14ac:dyDescent="0.35">
      <c r="A84" s="145"/>
      <c r="B84" s="145"/>
    </row>
    <row r="85" spans="1:12" s="144" customFormat="1" x14ac:dyDescent="0.35">
      <c r="A85" s="146" t="s">
        <v>0</v>
      </c>
      <c r="B85" s="147" t="s">
        <v>336</v>
      </c>
      <c r="C85" s="148" t="s">
        <v>2</v>
      </c>
      <c r="D85" s="148" t="s">
        <v>3</v>
      </c>
      <c r="E85" s="148" t="s">
        <v>4</v>
      </c>
      <c r="F85" s="148" t="s">
        <v>5</v>
      </c>
      <c r="G85" s="148" t="s">
        <v>6</v>
      </c>
      <c r="H85" s="148" t="s">
        <v>165</v>
      </c>
      <c r="I85" s="148" t="s">
        <v>164</v>
      </c>
      <c r="J85" s="149"/>
      <c r="K85" s="149"/>
      <c r="L85" s="149"/>
    </row>
    <row r="86" spans="1:12" s="144" customFormat="1" x14ac:dyDescent="0.35">
      <c r="A86" s="150" t="s">
        <v>252</v>
      </c>
      <c r="B86" s="151">
        <v>5</v>
      </c>
      <c r="C86" s="152">
        <f>'1.Project Cost and MOF'!$D$11/5</f>
        <v>45720</v>
      </c>
      <c r="D86" s="152">
        <f>'1.Project Cost and MOF'!$D$11/5</f>
        <v>45720</v>
      </c>
      <c r="E86" s="152">
        <f>'1.Project Cost and MOF'!$D$11/5</f>
        <v>45720</v>
      </c>
      <c r="F86" s="152">
        <f>'1.Project Cost and MOF'!$D$11/5</f>
        <v>45720</v>
      </c>
      <c r="G86" s="152">
        <f>'1.Project Cost and MOF'!$D$11/5</f>
        <v>45720</v>
      </c>
      <c r="H86" s="152">
        <v>0</v>
      </c>
      <c r="I86" s="152">
        <v>0</v>
      </c>
      <c r="J86" s="149"/>
      <c r="K86" s="149"/>
      <c r="L86" s="149"/>
    </row>
    <row r="87" spans="1:12" s="144" customFormat="1" x14ac:dyDescent="0.35">
      <c r="A87" s="153" t="s">
        <v>337</v>
      </c>
      <c r="B87" s="154"/>
      <c r="C87" s="155">
        <f t="shared" ref="C87:I87" si="50">SUM(C85:C86)</f>
        <v>45720</v>
      </c>
      <c r="D87" s="155">
        <f t="shared" si="50"/>
        <v>45720</v>
      </c>
      <c r="E87" s="155">
        <f t="shared" si="50"/>
        <v>45720</v>
      </c>
      <c r="F87" s="155">
        <f t="shared" si="50"/>
        <v>45720</v>
      </c>
      <c r="G87" s="155">
        <f t="shared" si="50"/>
        <v>45720</v>
      </c>
      <c r="H87" s="155">
        <f t="shared" si="50"/>
        <v>0</v>
      </c>
      <c r="I87" s="155">
        <f t="shared" si="50"/>
        <v>0</v>
      </c>
      <c r="J87" s="156"/>
      <c r="K87" s="156"/>
      <c r="L87" s="156"/>
    </row>
    <row r="88" spans="1:12" s="144" customFormat="1" x14ac:dyDescent="0.35">
      <c r="C88" s="149"/>
      <c r="D88" s="149"/>
      <c r="E88" s="149"/>
      <c r="F88" s="149"/>
      <c r="G88" s="149"/>
      <c r="H88" s="149"/>
      <c r="I88" s="149"/>
      <c r="J88" s="149"/>
      <c r="K88" s="149"/>
      <c r="L88" s="149"/>
    </row>
    <row r="91" spans="1:12" x14ac:dyDescent="0.35">
      <c r="A91" s="157"/>
      <c r="B91" s="158"/>
      <c r="C91" s="158"/>
      <c r="D91" s="158"/>
      <c r="E91" s="158"/>
      <c r="F91" s="158"/>
      <c r="G91" s="158"/>
      <c r="H91" s="158"/>
      <c r="I91" s="158"/>
      <c r="J91" s="158"/>
      <c r="K91" s="158"/>
    </row>
    <row r="92" spans="1:12" x14ac:dyDescent="0.35">
      <c r="A92" s="432" t="s">
        <v>546</v>
      </c>
      <c r="B92" s="432"/>
      <c r="C92" s="432"/>
      <c r="D92" s="432"/>
      <c r="E92" s="432"/>
      <c r="F92" s="432"/>
      <c r="G92" s="432"/>
      <c r="H92" s="432"/>
      <c r="I92" s="159"/>
      <c r="J92" s="159"/>
      <c r="K92" s="159"/>
    </row>
    <row r="93" spans="1:12" x14ac:dyDescent="0.35">
      <c r="A93" s="145"/>
      <c r="B93" s="158"/>
      <c r="C93" s="158"/>
      <c r="D93" s="158"/>
      <c r="E93" s="158"/>
      <c r="F93" s="158"/>
      <c r="G93" s="158"/>
      <c r="H93" s="158"/>
      <c r="I93" s="158"/>
      <c r="J93" s="158"/>
      <c r="K93" s="158"/>
    </row>
    <row r="94" spans="1:12" x14ac:dyDescent="0.35">
      <c r="A94" s="110" t="s">
        <v>0</v>
      </c>
      <c r="B94" s="111" t="s">
        <v>2</v>
      </c>
      <c r="C94" s="111" t="s">
        <v>3</v>
      </c>
      <c r="D94" s="111" t="s">
        <v>4</v>
      </c>
      <c r="E94" s="111" t="s">
        <v>5</v>
      </c>
      <c r="F94" s="111" t="s">
        <v>6</v>
      </c>
      <c r="G94" s="111" t="s">
        <v>165</v>
      </c>
      <c r="H94" s="111" t="s">
        <v>164</v>
      </c>
      <c r="I94" s="160"/>
      <c r="J94" s="160"/>
      <c r="K94" s="160"/>
    </row>
    <row r="95" spans="1:12" x14ac:dyDescent="0.35">
      <c r="A95" s="161" t="s">
        <v>224</v>
      </c>
      <c r="B95" s="162">
        <f>'6.Cons Profit &amp; Loss'!B47</f>
        <v>1607308.9773768638</v>
      </c>
      <c r="C95" s="162">
        <f>'6.Cons Profit &amp; Loss'!C47</f>
        <v>2564629.1213749181</v>
      </c>
      <c r="D95" s="162">
        <f>'6.Cons Profit &amp; Loss'!D47</f>
        <v>3547379.1875391519</v>
      </c>
      <c r="E95" s="162">
        <f>'6.Cons Profit &amp; Loss'!E47</f>
        <v>4593941.6079379059</v>
      </c>
      <c r="F95" s="162">
        <f>'6.Cons Profit &amp; Loss'!F47</f>
        <v>5542332.3005809728</v>
      </c>
      <c r="G95" s="162">
        <f>'6.Cons Profit &amp; Loss'!G47</f>
        <v>6526076.0394816976</v>
      </c>
      <c r="H95" s="162">
        <f>'6.Cons Profit &amp; Loss'!H47</f>
        <v>7541953.06245849</v>
      </c>
      <c r="I95" s="163"/>
      <c r="J95" s="163"/>
      <c r="K95" s="163"/>
    </row>
    <row r="96" spans="1:12" x14ac:dyDescent="0.35">
      <c r="A96" s="161" t="s">
        <v>225</v>
      </c>
      <c r="B96" s="162">
        <f>'6.Cons Profit &amp; Loss'!B40</f>
        <v>791583.62499999988</v>
      </c>
      <c r="C96" s="162">
        <f>'6.Cons Profit &amp; Loss'!C40</f>
        <v>791583.62499999988</v>
      </c>
      <c r="D96" s="162">
        <f>'6.Cons Profit &amp; Loss'!D40</f>
        <v>791583.62499999988</v>
      </c>
      <c r="E96" s="162">
        <f>'6.Cons Profit &amp; Loss'!E40</f>
        <v>791583.62499999988</v>
      </c>
      <c r="F96" s="162">
        <f>'6.Cons Profit &amp; Loss'!F40</f>
        <v>791583.62499999988</v>
      </c>
      <c r="G96" s="162">
        <f>'6.Cons Profit &amp; Loss'!G40</f>
        <v>791583.62499999988</v>
      </c>
      <c r="H96" s="162">
        <f>'6.Cons Profit &amp; Loss'!H40</f>
        <v>791583.62499999988</v>
      </c>
      <c r="I96" s="163"/>
      <c r="J96" s="163"/>
      <c r="K96" s="163"/>
    </row>
    <row r="97" spans="1:11" x14ac:dyDescent="0.35">
      <c r="A97" s="161" t="s">
        <v>226</v>
      </c>
      <c r="B97" s="162">
        <f>'3.Other Exp &amp; Taxes'!K66</f>
        <v>2206264.1</v>
      </c>
      <c r="C97" s="162">
        <f>'3.Other Exp &amp; Taxes'!L66</f>
        <v>1873875.4950000001</v>
      </c>
      <c r="D97" s="162">
        <f>'3.Other Exp &amp; Taxes'!M66</f>
        <v>1612346.4097500001</v>
      </c>
      <c r="E97" s="162">
        <f>'3.Other Exp &amp; Taxes'!N66</f>
        <v>1400605.2613875002</v>
      </c>
      <c r="F97" s="162">
        <f>'3.Other Exp &amp; Taxes'!O66</f>
        <v>1225122.4827693752</v>
      </c>
      <c r="G97" s="162">
        <f>'3.Other Exp &amp; Taxes'!P66</f>
        <v>1077006.2871649689</v>
      </c>
      <c r="H97" s="162">
        <f>'3.Other Exp &amp; Taxes'!Q66</f>
        <v>950245.28358812351</v>
      </c>
      <c r="I97" s="163"/>
      <c r="J97" s="163"/>
      <c r="K97" s="163"/>
    </row>
    <row r="98" spans="1:11" x14ac:dyDescent="0.35">
      <c r="A98" s="161" t="s">
        <v>287</v>
      </c>
      <c r="B98" s="162">
        <f t="shared" ref="B98:H98" si="51">B95+B96-B97</f>
        <v>192628.50237686373</v>
      </c>
      <c r="C98" s="162">
        <f t="shared" si="51"/>
        <v>1482337.251374918</v>
      </c>
      <c r="D98" s="162">
        <f t="shared" si="51"/>
        <v>2726616.4027891518</v>
      </c>
      <c r="E98" s="162">
        <f t="shared" si="51"/>
        <v>3984919.971550406</v>
      </c>
      <c r="F98" s="162">
        <f t="shared" si="51"/>
        <v>5108793.4428115971</v>
      </c>
      <c r="G98" s="162">
        <f t="shared" si="51"/>
        <v>6240653.3773167282</v>
      </c>
      <c r="H98" s="162">
        <f t="shared" si="51"/>
        <v>7383291.4038703665</v>
      </c>
      <c r="I98" s="163"/>
      <c r="J98" s="163"/>
      <c r="K98" s="163"/>
    </row>
    <row r="99" spans="1:11" x14ac:dyDescent="0.35">
      <c r="A99" s="164" t="s">
        <v>227</v>
      </c>
      <c r="B99" s="165">
        <f>IF(B98&gt;0,B98*$B$102,0)</f>
        <v>50083.410617984569</v>
      </c>
      <c r="C99" s="165">
        <f t="shared" ref="C99:H99" si="52">IF(C98&gt;0,C98*$B$102,0)</f>
        <v>385407.68535747868</v>
      </c>
      <c r="D99" s="165">
        <f t="shared" si="52"/>
        <v>708920.26472517953</v>
      </c>
      <c r="E99" s="165">
        <f t="shared" si="52"/>
        <v>1036079.1926031056</v>
      </c>
      <c r="F99" s="165">
        <f t="shared" si="52"/>
        <v>1328286.2951310154</v>
      </c>
      <c r="G99" s="165">
        <f t="shared" si="52"/>
        <v>1622569.8781023494</v>
      </c>
      <c r="H99" s="165">
        <f t="shared" si="52"/>
        <v>1919655.7650062954</v>
      </c>
      <c r="I99" s="163"/>
      <c r="J99" s="163"/>
      <c r="K99" s="163"/>
    </row>
    <row r="100" spans="1:11" x14ac:dyDescent="0.35">
      <c r="A100" s="166"/>
      <c r="B100" s="158"/>
      <c r="C100" s="158"/>
      <c r="D100" s="158"/>
      <c r="E100" s="158"/>
      <c r="F100" s="158"/>
      <c r="G100" s="158"/>
      <c r="H100" s="158"/>
      <c r="I100" s="158"/>
      <c r="J100" s="158"/>
      <c r="K100" s="158"/>
    </row>
    <row r="101" spans="1:11" x14ac:dyDescent="0.35">
      <c r="A101" s="166"/>
      <c r="B101" s="149"/>
      <c r="C101" s="149"/>
      <c r="D101" s="149"/>
      <c r="E101" s="149"/>
      <c r="F101" s="149"/>
      <c r="G101" s="149"/>
      <c r="H101" s="149"/>
      <c r="I101" s="149"/>
      <c r="J101" s="149"/>
      <c r="K101" s="149"/>
    </row>
    <row r="102" spans="1:11" x14ac:dyDescent="0.35">
      <c r="A102" s="167" t="s">
        <v>388</v>
      </c>
      <c r="B102" s="168">
        <v>0.26</v>
      </c>
      <c r="C102" s="149"/>
      <c r="D102" s="149"/>
      <c r="E102" s="149"/>
      <c r="F102" s="149"/>
      <c r="G102" s="149"/>
      <c r="H102" s="149"/>
      <c r="I102" s="149"/>
      <c r="J102" s="149"/>
      <c r="K102" s="149"/>
    </row>
    <row r="103" spans="1:11" x14ac:dyDescent="0.35">
      <c r="A103" s="158"/>
      <c r="B103" s="158"/>
      <c r="C103" s="158"/>
      <c r="D103" s="158"/>
      <c r="E103" s="158"/>
      <c r="F103" s="158"/>
      <c r="G103" s="158"/>
      <c r="H103" s="158"/>
      <c r="I103" s="158"/>
      <c r="J103" s="158"/>
      <c r="K103" s="158"/>
    </row>
    <row r="104" spans="1:11" ht="29.15" customHeight="1" x14ac:dyDescent="0.35">
      <c r="A104" s="433" t="s">
        <v>419</v>
      </c>
      <c r="B104" s="433"/>
      <c r="C104" s="433"/>
      <c r="D104" s="433"/>
      <c r="E104" s="433"/>
      <c r="F104" s="433"/>
      <c r="G104" s="433"/>
      <c r="H104" s="433"/>
      <c r="I104" s="133"/>
      <c r="J104" s="133"/>
      <c r="K104" s="133"/>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29" zoomScale="80" zoomScaleSheetLayoutView="80" workbookViewId="0">
      <selection activeCell="A9" sqref="A9:G51"/>
    </sheetView>
  </sheetViews>
  <sheetFormatPr defaultColWidth="8.7265625" defaultRowHeight="14.5" x14ac:dyDescent="0.35"/>
  <cols>
    <col min="1" max="1" width="8.7265625" style="107"/>
    <col min="2" max="2" width="15.453125" style="107" customWidth="1"/>
    <col min="3" max="3" width="28.1796875" style="107" bestFit="1" customWidth="1"/>
    <col min="4" max="4" width="14.7265625" style="107" customWidth="1"/>
    <col min="5" max="5" width="25.81640625" style="107" bestFit="1" customWidth="1"/>
    <col min="6" max="6" width="12.1796875" style="107" customWidth="1"/>
    <col min="7" max="7" width="27.26953125" style="107" bestFit="1" customWidth="1"/>
    <col min="8" max="8" width="12.26953125" style="107" bestFit="1" customWidth="1"/>
    <col min="9" max="9" width="11.7265625" style="107" bestFit="1" customWidth="1"/>
    <col min="10" max="16384" width="8.7265625" style="107"/>
  </cols>
  <sheetData>
    <row r="2" spans="1:7" x14ac:dyDescent="0.35">
      <c r="A2" s="421" t="s">
        <v>697</v>
      </c>
      <c r="B2" s="421"/>
      <c r="C2" s="421"/>
      <c r="D2" s="421"/>
      <c r="E2" s="421"/>
      <c r="F2" s="421"/>
      <c r="G2" s="435"/>
    </row>
    <row r="3" spans="1:7" x14ac:dyDescent="0.35">
      <c r="B3" s="331"/>
      <c r="C3" s="331"/>
      <c r="D3" s="331"/>
      <c r="E3" s="331"/>
      <c r="F3" s="331"/>
      <c r="G3" s="331"/>
    </row>
    <row r="4" spans="1:7" x14ac:dyDescent="0.35">
      <c r="C4" s="107" t="s">
        <v>465</v>
      </c>
      <c r="D4" s="237">
        <f>'1.Project Cost and MOF'!E21</f>
        <v>6330759.0499999998</v>
      </c>
    </row>
    <row r="5" spans="1:7" x14ac:dyDescent="0.35">
      <c r="C5" s="107" t="s">
        <v>466</v>
      </c>
      <c r="D5" s="332">
        <v>0.1</v>
      </c>
    </row>
    <row r="6" spans="1:7" x14ac:dyDescent="0.35">
      <c r="C6" s="107" t="s">
        <v>467</v>
      </c>
      <c r="D6" s="333">
        <v>4</v>
      </c>
    </row>
    <row r="7" spans="1:7" x14ac:dyDescent="0.35">
      <c r="C7" s="107" t="s">
        <v>468</v>
      </c>
      <c r="D7" s="333">
        <v>12</v>
      </c>
    </row>
    <row r="8" spans="1:7" x14ac:dyDescent="0.35">
      <c r="C8" s="107" t="s">
        <v>22</v>
      </c>
      <c r="D8" s="334">
        <f>PMT(D5/12,(D6-(D7/12))*12,-D4)</f>
        <v>204275.78734543076</v>
      </c>
      <c r="E8" s="334"/>
      <c r="F8" s="335"/>
    </row>
    <row r="9" spans="1:7" x14ac:dyDescent="0.35">
      <c r="A9" s="110" t="s">
        <v>288</v>
      </c>
      <c r="B9" s="336" t="s">
        <v>18</v>
      </c>
      <c r="C9" s="337" t="s">
        <v>19</v>
      </c>
      <c r="D9" s="337" t="s">
        <v>20</v>
      </c>
      <c r="E9" s="337" t="s">
        <v>21</v>
      </c>
      <c r="F9" s="337" t="s">
        <v>22</v>
      </c>
      <c r="G9" s="337" t="s">
        <v>23</v>
      </c>
    </row>
    <row r="10" spans="1:7" x14ac:dyDescent="0.35">
      <c r="A10" s="112" t="s">
        <v>11</v>
      </c>
      <c r="B10" s="112" t="s">
        <v>51</v>
      </c>
      <c r="C10" s="115">
        <f>D4</f>
        <v>6330759.0499999998</v>
      </c>
      <c r="D10" s="115">
        <f t="shared" ref="D10:D41" si="0">C10*$D$5/12</f>
        <v>52756.325416666667</v>
      </c>
      <c r="E10" s="115">
        <f t="shared" ref="E10:E15" si="1">F10-D10</f>
        <v>0</v>
      </c>
      <c r="F10" s="115">
        <f>D10</f>
        <v>52756.325416666667</v>
      </c>
      <c r="G10" s="115">
        <f>C10-E10</f>
        <v>6330759.0499999998</v>
      </c>
    </row>
    <row r="11" spans="1:7" x14ac:dyDescent="0.35">
      <c r="A11" s="112"/>
      <c r="B11" s="112" t="s">
        <v>52</v>
      </c>
      <c r="C11" s="115">
        <f>G10</f>
        <v>6330759.0499999998</v>
      </c>
      <c r="D11" s="115">
        <f t="shared" si="0"/>
        <v>52756.325416666667</v>
      </c>
      <c r="E11" s="115">
        <f t="shared" si="1"/>
        <v>0</v>
      </c>
      <c r="F11" s="115">
        <f t="shared" ref="F11:F15" si="2">D11</f>
        <v>52756.325416666667</v>
      </c>
      <c r="G11" s="115">
        <f t="shared" ref="G11:G74" si="3">C11-E11</f>
        <v>6330759.0499999998</v>
      </c>
    </row>
    <row r="12" spans="1:7" x14ac:dyDescent="0.35">
      <c r="A12" s="112"/>
      <c r="B12" s="112" t="s">
        <v>53</v>
      </c>
      <c r="C12" s="115">
        <f t="shared" ref="C12:C75" si="4">G11</f>
        <v>6330759.0499999998</v>
      </c>
      <c r="D12" s="115">
        <f t="shared" si="0"/>
        <v>52756.325416666667</v>
      </c>
      <c r="E12" s="115">
        <f t="shared" si="1"/>
        <v>0</v>
      </c>
      <c r="F12" s="115">
        <f t="shared" si="2"/>
        <v>52756.325416666667</v>
      </c>
      <c r="G12" s="115">
        <f t="shared" si="3"/>
        <v>6330759.0499999998</v>
      </c>
    </row>
    <row r="13" spans="1:7" x14ac:dyDescent="0.35">
      <c r="A13" s="112"/>
      <c r="B13" s="112" t="s">
        <v>54</v>
      </c>
      <c r="C13" s="115">
        <f t="shared" si="4"/>
        <v>6330759.0499999998</v>
      </c>
      <c r="D13" s="115">
        <f t="shared" si="0"/>
        <v>52756.325416666667</v>
      </c>
      <c r="E13" s="115">
        <f t="shared" si="1"/>
        <v>0</v>
      </c>
      <c r="F13" s="115">
        <f t="shared" si="2"/>
        <v>52756.325416666667</v>
      </c>
      <c r="G13" s="115">
        <f t="shared" si="3"/>
        <v>6330759.0499999998</v>
      </c>
    </row>
    <row r="14" spans="1:7" x14ac:dyDescent="0.35">
      <c r="A14" s="112"/>
      <c r="B14" s="112" t="s">
        <v>55</v>
      </c>
      <c r="C14" s="115">
        <f t="shared" si="4"/>
        <v>6330759.0499999998</v>
      </c>
      <c r="D14" s="115">
        <f t="shared" si="0"/>
        <v>52756.325416666667</v>
      </c>
      <c r="E14" s="115">
        <f t="shared" si="1"/>
        <v>0</v>
      </c>
      <c r="F14" s="115">
        <f t="shared" si="2"/>
        <v>52756.325416666667</v>
      </c>
      <c r="G14" s="115">
        <f t="shared" si="3"/>
        <v>6330759.0499999998</v>
      </c>
    </row>
    <row r="15" spans="1:7" x14ac:dyDescent="0.35">
      <c r="A15" s="112"/>
      <c r="B15" s="112" t="s">
        <v>56</v>
      </c>
      <c r="C15" s="115">
        <f t="shared" si="4"/>
        <v>6330759.0499999998</v>
      </c>
      <c r="D15" s="115">
        <f t="shared" si="0"/>
        <v>52756.325416666667</v>
      </c>
      <c r="E15" s="115">
        <f t="shared" si="1"/>
        <v>0</v>
      </c>
      <c r="F15" s="115">
        <f t="shared" si="2"/>
        <v>52756.325416666667</v>
      </c>
      <c r="G15" s="115">
        <f t="shared" si="3"/>
        <v>6330759.0499999998</v>
      </c>
    </row>
    <row r="16" spans="1:7" x14ac:dyDescent="0.35">
      <c r="A16" s="112"/>
      <c r="B16" s="112" t="s">
        <v>57</v>
      </c>
      <c r="C16" s="115">
        <f t="shared" si="4"/>
        <v>6330759.0499999998</v>
      </c>
      <c r="D16" s="115">
        <f t="shared" si="0"/>
        <v>52756.325416666667</v>
      </c>
      <c r="E16" s="115">
        <f>F16-D16</f>
        <v>151519.4619287641</v>
      </c>
      <c r="F16" s="115">
        <f t="shared" ref="F16:F51" si="5">$D$8</f>
        <v>204275.78734543076</v>
      </c>
      <c r="G16" s="115">
        <f t="shared" si="3"/>
        <v>6179239.5880712355</v>
      </c>
    </row>
    <row r="17" spans="1:9" x14ac:dyDescent="0.35">
      <c r="A17" s="112"/>
      <c r="B17" s="112" t="s">
        <v>58</v>
      </c>
      <c r="C17" s="115">
        <f t="shared" si="4"/>
        <v>6179239.5880712355</v>
      </c>
      <c r="D17" s="115">
        <f t="shared" si="0"/>
        <v>51493.663233926964</v>
      </c>
      <c r="E17" s="115">
        <f t="shared" ref="E17:E80" si="6">F17-D17</f>
        <v>152782.1241115038</v>
      </c>
      <c r="F17" s="115">
        <f t="shared" si="5"/>
        <v>204275.78734543076</v>
      </c>
      <c r="G17" s="115">
        <f t="shared" si="3"/>
        <v>6026457.4639597321</v>
      </c>
    </row>
    <row r="18" spans="1:9" x14ac:dyDescent="0.35">
      <c r="A18" s="112"/>
      <c r="B18" s="112" t="s">
        <v>59</v>
      </c>
      <c r="C18" s="115">
        <f t="shared" si="4"/>
        <v>6026457.4639597321</v>
      </c>
      <c r="D18" s="115">
        <f t="shared" si="0"/>
        <v>50220.478866331105</v>
      </c>
      <c r="E18" s="115">
        <f t="shared" si="6"/>
        <v>154055.30847909965</v>
      </c>
      <c r="F18" s="115">
        <f t="shared" si="5"/>
        <v>204275.78734543076</v>
      </c>
      <c r="G18" s="115">
        <f t="shared" si="3"/>
        <v>5872402.1554806326</v>
      </c>
    </row>
    <row r="19" spans="1:9" x14ac:dyDescent="0.35">
      <c r="A19" s="112"/>
      <c r="B19" s="112" t="s">
        <v>60</v>
      </c>
      <c r="C19" s="115">
        <f t="shared" si="4"/>
        <v>5872402.1554806326</v>
      </c>
      <c r="D19" s="115">
        <f t="shared" si="0"/>
        <v>48936.684629005271</v>
      </c>
      <c r="E19" s="115">
        <f t="shared" si="6"/>
        <v>155339.10271642549</v>
      </c>
      <c r="F19" s="115">
        <f t="shared" si="5"/>
        <v>204275.78734543076</v>
      </c>
      <c r="G19" s="115">
        <f t="shared" si="3"/>
        <v>5717063.0527642071</v>
      </c>
    </row>
    <row r="20" spans="1:9" x14ac:dyDescent="0.35">
      <c r="A20" s="112"/>
      <c r="B20" s="112" t="s">
        <v>61</v>
      </c>
      <c r="C20" s="115">
        <f t="shared" si="4"/>
        <v>5717063.0527642071</v>
      </c>
      <c r="D20" s="115">
        <f t="shared" si="0"/>
        <v>47642.192106368399</v>
      </c>
      <c r="E20" s="115">
        <f t="shared" si="6"/>
        <v>156633.59523906236</v>
      </c>
      <c r="F20" s="115">
        <f t="shared" si="5"/>
        <v>204275.78734543076</v>
      </c>
      <c r="G20" s="115">
        <f t="shared" si="3"/>
        <v>5560429.4575251443</v>
      </c>
    </row>
    <row r="21" spans="1:9" x14ac:dyDescent="0.35">
      <c r="A21" s="112"/>
      <c r="B21" s="112" t="s">
        <v>62</v>
      </c>
      <c r="C21" s="115">
        <f t="shared" si="4"/>
        <v>5560429.4575251443</v>
      </c>
      <c r="D21" s="115">
        <f t="shared" si="0"/>
        <v>46336.912146042865</v>
      </c>
      <c r="E21" s="115">
        <f t="shared" si="6"/>
        <v>157938.8751993879</v>
      </c>
      <c r="F21" s="115">
        <f t="shared" si="5"/>
        <v>204275.78734543076</v>
      </c>
      <c r="G21" s="115">
        <f t="shared" si="3"/>
        <v>5402490.5823257565</v>
      </c>
      <c r="H21" s="251"/>
      <c r="I21" s="251"/>
    </row>
    <row r="22" spans="1:9" x14ac:dyDescent="0.35">
      <c r="A22" s="112" t="s">
        <v>12</v>
      </c>
      <c r="B22" s="112" t="s">
        <v>63</v>
      </c>
      <c r="C22" s="115">
        <f t="shared" si="4"/>
        <v>5402490.5823257565</v>
      </c>
      <c r="D22" s="115">
        <f t="shared" si="0"/>
        <v>45020.754852714635</v>
      </c>
      <c r="E22" s="115">
        <f t="shared" si="6"/>
        <v>159255.03249271613</v>
      </c>
      <c r="F22" s="115">
        <f t="shared" si="5"/>
        <v>204275.78734543076</v>
      </c>
      <c r="G22" s="115">
        <f t="shared" si="3"/>
        <v>5243235.5498330407</v>
      </c>
    </row>
    <row r="23" spans="1:9" x14ac:dyDescent="0.35">
      <c r="A23" s="112"/>
      <c r="B23" s="112" t="s">
        <v>64</v>
      </c>
      <c r="C23" s="115">
        <f t="shared" si="4"/>
        <v>5243235.5498330407</v>
      </c>
      <c r="D23" s="115">
        <f t="shared" si="0"/>
        <v>43693.629581942012</v>
      </c>
      <c r="E23" s="115">
        <f t="shared" si="6"/>
        <v>160582.15776348874</v>
      </c>
      <c r="F23" s="115">
        <f t="shared" si="5"/>
        <v>204275.78734543076</v>
      </c>
      <c r="G23" s="115">
        <f t="shared" si="3"/>
        <v>5082653.3920695521</v>
      </c>
    </row>
    <row r="24" spans="1:9" x14ac:dyDescent="0.35">
      <c r="A24" s="112"/>
      <c r="B24" s="112" t="s">
        <v>65</v>
      </c>
      <c r="C24" s="115">
        <f t="shared" si="4"/>
        <v>5082653.3920695521</v>
      </c>
      <c r="D24" s="115">
        <f t="shared" si="0"/>
        <v>42355.444933912935</v>
      </c>
      <c r="E24" s="115">
        <f t="shared" si="6"/>
        <v>161920.34241151781</v>
      </c>
      <c r="F24" s="115">
        <f t="shared" si="5"/>
        <v>204275.78734543076</v>
      </c>
      <c r="G24" s="115">
        <f t="shared" si="3"/>
        <v>4920733.049658034</v>
      </c>
    </row>
    <row r="25" spans="1:9" x14ac:dyDescent="0.35">
      <c r="A25" s="112"/>
      <c r="B25" s="112" t="s">
        <v>66</v>
      </c>
      <c r="C25" s="115">
        <f t="shared" si="4"/>
        <v>4920733.049658034</v>
      </c>
      <c r="D25" s="115">
        <f t="shared" si="0"/>
        <v>41006.108747150283</v>
      </c>
      <c r="E25" s="115">
        <f t="shared" si="6"/>
        <v>163269.67859828047</v>
      </c>
      <c r="F25" s="115">
        <f t="shared" si="5"/>
        <v>204275.78734543076</v>
      </c>
      <c r="G25" s="115">
        <f t="shared" si="3"/>
        <v>4757463.3710597539</v>
      </c>
    </row>
    <row r="26" spans="1:9" x14ac:dyDescent="0.35">
      <c r="A26" s="112"/>
      <c r="B26" s="112" t="s">
        <v>67</v>
      </c>
      <c r="C26" s="115">
        <f t="shared" si="4"/>
        <v>4757463.3710597539</v>
      </c>
      <c r="D26" s="115">
        <f t="shared" si="0"/>
        <v>39645.528092164619</v>
      </c>
      <c r="E26" s="115">
        <f t="shared" si="6"/>
        <v>164630.25925326615</v>
      </c>
      <c r="F26" s="115">
        <f t="shared" si="5"/>
        <v>204275.78734543076</v>
      </c>
      <c r="G26" s="115">
        <f t="shared" si="3"/>
        <v>4592833.1118064877</v>
      </c>
    </row>
    <row r="27" spans="1:9" x14ac:dyDescent="0.35">
      <c r="A27" s="112"/>
      <c r="B27" s="112" t="s">
        <v>68</v>
      </c>
      <c r="C27" s="115">
        <f t="shared" si="4"/>
        <v>4592833.1118064877</v>
      </c>
      <c r="D27" s="115">
        <f t="shared" si="0"/>
        <v>38273.609265054067</v>
      </c>
      <c r="E27" s="115">
        <f t="shared" si="6"/>
        <v>166002.1780803767</v>
      </c>
      <c r="F27" s="115">
        <f t="shared" si="5"/>
        <v>204275.78734543076</v>
      </c>
      <c r="G27" s="115">
        <f t="shared" si="3"/>
        <v>4426830.9337261114</v>
      </c>
    </row>
    <row r="28" spans="1:9" x14ac:dyDescent="0.35">
      <c r="A28" s="112"/>
      <c r="B28" s="112" t="s">
        <v>69</v>
      </c>
      <c r="C28" s="115">
        <f t="shared" si="4"/>
        <v>4426830.9337261114</v>
      </c>
      <c r="D28" s="115">
        <f t="shared" si="0"/>
        <v>36890.257781050932</v>
      </c>
      <c r="E28" s="115">
        <f t="shared" si="6"/>
        <v>167385.52956437983</v>
      </c>
      <c r="F28" s="115">
        <f t="shared" si="5"/>
        <v>204275.78734543076</v>
      </c>
      <c r="G28" s="115">
        <f t="shared" si="3"/>
        <v>4259445.4041617317</v>
      </c>
    </row>
    <row r="29" spans="1:9" x14ac:dyDescent="0.35">
      <c r="A29" s="112"/>
      <c r="B29" s="112" t="s">
        <v>70</v>
      </c>
      <c r="C29" s="115">
        <f t="shared" si="4"/>
        <v>4259445.4041617317</v>
      </c>
      <c r="D29" s="115">
        <f t="shared" si="0"/>
        <v>35495.378368014433</v>
      </c>
      <c r="E29" s="115">
        <f t="shared" si="6"/>
        <v>168780.40897741631</v>
      </c>
      <c r="F29" s="115">
        <f t="shared" si="5"/>
        <v>204275.78734543076</v>
      </c>
      <c r="G29" s="115">
        <f t="shared" si="3"/>
        <v>4090664.9951843154</v>
      </c>
    </row>
    <row r="30" spans="1:9" x14ac:dyDescent="0.35">
      <c r="A30" s="112"/>
      <c r="B30" s="112" t="s">
        <v>71</v>
      </c>
      <c r="C30" s="115">
        <f t="shared" si="4"/>
        <v>4090664.9951843154</v>
      </c>
      <c r="D30" s="115">
        <f t="shared" si="0"/>
        <v>34088.874959869296</v>
      </c>
      <c r="E30" s="115">
        <f t="shared" si="6"/>
        <v>170186.91238556145</v>
      </c>
      <c r="F30" s="115">
        <f t="shared" si="5"/>
        <v>204275.78734543076</v>
      </c>
      <c r="G30" s="115">
        <f t="shared" si="3"/>
        <v>3920478.0827987539</v>
      </c>
    </row>
    <row r="31" spans="1:9" x14ac:dyDescent="0.35">
      <c r="A31" s="112"/>
      <c r="B31" s="112" t="s">
        <v>72</v>
      </c>
      <c r="C31" s="115">
        <f t="shared" si="4"/>
        <v>3920478.0827987539</v>
      </c>
      <c r="D31" s="115">
        <f t="shared" si="0"/>
        <v>32670.650689989619</v>
      </c>
      <c r="E31" s="115">
        <f t="shared" si="6"/>
        <v>171605.13665544114</v>
      </c>
      <c r="F31" s="115">
        <f t="shared" si="5"/>
        <v>204275.78734543076</v>
      </c>
      <c r="G31" s="115">
        <f t="shared" si="3"/>
        <v>3748872.9461433128</v>
      </c>
    </row>
    <row r="32" spans="1:9" x14ac:dyDescent="0.35">
      <c r="A32" s="112"/>
      <c r="B32" s="112" t="s">
        <v>73</v>
      </c>
      <c r="C32" s="115">
        <f t="shared" si="4"/>
        <v>3748872.9461433128</v>
      </c>
      <c r="D32" s="115">
        <f t="shared" si="0"/>
        <v>31240.60788452761</v>
      </c>
      <c r="E32" s="115">
        <f t="shared" si="6"/>
        <v>173035.17946090313</v>
      </c>
      <c r="F32" s="115">
        <f t="shared" si="5"/>
        <v>204275.78734543076</v>
      </c>
      <c r="G32" s="115">
        <f t="shared" si="3"/>
        <v>3575837.7666824097</v>
      </c>
    </row>
    <row r="33" spans="1:9" x14ac:dyDescent="0.35">
      <c r="A33" s="112"/>
      <c r="B33" s="112" t="s">
        <v>74</v>
      </c>
      <c r="C33" s="115">
        <f t="shared" si="4"/>
        <v>3575837.7666824097</v>
      </c>
      <c r="D33" s="115">
        <f t="shared" si="0"/>
        <v>29798.64805568675</v>
      </c>
      <c r="E33" s="115">
        <f t="shared" si="6"/>
        <v>174477.13928974399</v>
      </c>
      <c r="F33" s="115">
        <f t="shared" si="5"/>
        <v>204275.78734543076</v>
      </c>
      <c r="G33" s="115">
        <f t="shared" si="3"/>
        <v>3401360.6273926655</v>
      </c>
      <c r="H33" s="251"/>
      <c r="I33" s="251"/>
    </row>
    <row r="34" spans="1:9" x14ac:dyDescent="0.35">
      <c r="A34" s="112" t="s">
        <v>13</v>
      </c>
      <c r="B34" s="112" t="s">
        <v>75</v>
      </c>
      <c r="C34" s="115">
        <f t="shared" si="4"/>
        <v>3401360.6273926655</v>
      </c>
      <c r="D34" s="115">
        <f t="shared" si="0"/>
        <v>28344.671894938878</v>
      </c>
      <c r="E34" s="115">
        <f t="shared" si="6"/>
        <v>175931.11545049187</v>
      </c>
      <c r="F34" s="115">
        <f t="shared" si="5"/>
        <v>204275.78734543076</v>
      </c>
      <c r="G34" s="115">
        <f t="shared" si="3"/>
        <v>3225429.5119421738</v>
      </c>
    </row>
    <row r="35" spans="1:9" x14ac:dyDescent="0.35">
      <c r="A35" s="112"/>
      <c r="B35" s="112" t="s">
        <v>76</v>
      </c>
      <c r="C35" s="115">
        <f t="shared" si="4"/>
        <v>3225429.5119421738</v>
      </c>
      <c r="D35" s="115">
        <f t="shared" si="0"/>
        <v>26878.579266184785</v>
      </c>
      <c r="E35" s="115">
        <f t="shared" si="6"/>
        <v>177397.20807924596</v>
      </c>
      <c r="F35" s="115">
        <f t="shared" si="5"/>
        <v>204275.78734543076</v>
      </c>
      <c r="G35" s="115">
        <f t="shared" si="3"/>
        <v>3048032.3038629279</v>
      </c>
    </row>
    <row r="36" spans="1:9" x14ac:dyDescent="0.35">
      <c r="A36" s="112"/>
      <c r="B36" s="112" t="s">
        <v>77</v>
      </c>
      <c r="C36" s="115">
        <f t="shared" si="4"/>
        <v>3048032.3038629279</v>
      </c>
      <c r="D36" s="115">
        <f t="shared" si="0"/>
        <v>25400.269198857732</v>
      </c>
      <c r="E36" s="115">
        <f t="shared" si="6"/>
        <v>178875.51814657301</v>
      </c>
      <c r="F36" s="115">
        <f t="shared" si="5"/>
        <v>204275.78734543076</v>
      </c>
      <c r="G36" s="115">
        <f t="shared" si="3"/>
        <v>2869156.7857163548</v>
      </c>
    </row>
    <row r="37" spans="1:9" x14ac:dyDescent="0.35">
      <c r="A37" s="112"/>
      <c r="B37" s="112" t="s">
        <v>78</v>
      </c>
      <c r="C37" s="115">
        <f t="shared" si="4"/>
        <v>2869156.7857163548</v>
      </c>
      <c r="D37" s="115">
        <f t="shared" si="0"/>
        <v>23909.639880969626</v>
      </c>
      <c r="E37" s="115">
        <f t="shared" si="6"/>
        <v>180366.14746446113</v>
      </c>
      <c r="F37" s="115">
        <f t="shared" si="5"/>
        <v>204275.78734543076</v>
      </c>
      <c r="G37" s="115">
        <f t="shared" si="3"/>
        <v>2688790.6382518937</v>
      </c>
    </row>
    <row r="38" spans="1:9" x14ac:dyDescent="0.35">
      <c r="A38" s="112"/>
      <c r="B38" s="112" t="s">
        <v>79</v>
      </c>
      <c r="C38" s="115">
        <f t="shared" si="4"/>
        <v>2688790.6382518937</v>
      </c>
      <c r="D38" s="115">
        <f t="shared" si="0"/>
        <v>22406.588652099115</v>
      </c>
      <c r="E38" s="115">
        <f t="shared" si="6"/>
        <v>181869.19869333165</v>
      </c>
      <c r="F38" s="115">
        <f t="shared" si="5"/>
        <v>204275.78734543076</v>
      </c>
      <c r="G38" s="115">
        <f t="shared" si="3"/>
        <v>2506921.4395585619</v>
      </c>
    </row>
    <row r="39" spans="1:9" x14ac:dyDescent="0.35">
      <c r="A39" s="112"/>
      <c r="B39" s="112" t="s">
        <v>80</v>
      </c>
      <c r="C39" s="115">
        <f t="shared" si="4"/>
        <v>2506921.4395585619</v>
      </c>
      <c r="D39" s="115">
        <f t="shared" si="0"/>
        <v>20891.011996321351</v>
      </c>
      <c r="E39" s="115">
        <f t="shared" si="6"/>
        <v>183384.7753491094</v>
      </c>
      <c r="F39" s="115">
        <f t="shared" si="5"/>
        <v>204275.78734543076</v>
      </c>
      <c r="G39" s="115">
        <f t="shared" si="3"/>
        <v>2323536.6642094525</v>
      </c>
    </row>
    <row r="40" spans="1:9" x14ac:dyDescent="0.35">
      <c r="A40" s="112"/>
      <c r="B40" s="112" t="s">
        <v>81</v>
      </c>
      <c r="C40" s="115">
        <f t="shared" si="4"/>
        <v>2323536.6642094525</v>
      </c>
      <c r="D40" s="115">
        <f t="shared" si="0"/>
        <v>19362.805535078773</v>
      </c>
      <c r="E40" s="115">
        <f t="shared" si="6"/>
        <v>184912.98181035198</v>
      </c>
      <c r="F40" s="115">
        <f t="shared" si="5"/>
        <v>204275.78734543076</v>
      </c>
      <c r="G40" s="115">
        <f t="shared" si="3"/>
        <v>2138623.6823991006</v>
      </c>
    </row>
    <row r="41" spans="1:9" x14ac:dyDescent="0.35">
      <c r="A41" s="112"/>
      <c r="B41" s="112" t="s">
        <v>82</v>
      </c>
      <c r="C41" s="115">
        <f t="shared" si="4"/>
        <v>2138623.6823991006</v>
      </c>
      <c r="D41" s="115">
        <f t="shared" si="0"/>
        <v>17821.864019992507</v>
      </c>
      <c r="E41" s="115">
        <f t="shared" si="6"/>
        <v>186453.92332543826</v>
      </c>
      <c r="F41" s="115">
        <f t="shared" si="5"/>
        <v>204275.78734543076</v>
      </c>
      <c r="G41" s="115">
        <f t="shared" si="3"/>
        <v>1952169.7590736623</v>
      </c>
    </row>
    <row r="42" spans="1:9" x14ac:dyDescent="0.35">
      <c r="A42" s="112"/>
      <c r="B42" s="112" t="s">
        <v>83</v>
      </c>
      <c r="C42" s="115">
        <f t="shared" si="4"/>
        <v>1952169.7590736623</v>
      </c>
      <c r="D42" s="115">
        <f t="shared" ref="D42:D73" si="7">C42*$D$5/12</f>
        <v>16268.081325613855</v>
      </c>
      <c r="E42" s="115">
        <f t="shared" si="6"/>
        <v>188007.70601981689</v>
      </c>
      <c r="F42" s="115">
        <f t="shared" si="5"/>
        <v>204275.78734543076</v>
      </c>
      <c r="G42" s="115">
        <f t="shared" si="3"/>
        <v>1764162.0530538454</v>
      </c>
    </row>
    <row r="43" spans="1:9" x14ac:dyDescent="0.35">
      <c r="A43" s="112"/>
      <c r="B43" s="112" t="s">
        <v>84</v>
      </c>
      <c r="C43" s="115">
        <f t="shared" si="4"/>
        <v>1764162.0530538454</v>
      </c>
      <c r="D43" s="115">
        <f t="shared" si="7"/>
        <v>14701.350442115379</v>
      </c>
      <c r="E43" s="115">
        <f t="shared" si="6"/>
        <v>189574.43690331536</v>
      </c>
      <c r="F43" s="115">
        <f t="shared" si="5"/>
        <v>204275.78734543076</v>
      </c>
      <c r="G43" s="115">
        <f t="shared" si="3"/>
        <v>1574587.6161505301</v>
      </c>
    </row>
    <row r="44" spans="1:9" x14ac:dyDescent="0.35">
      <c r="A44" s="112"/>
      <c r="B44" s="112" t="s">
        <v>85</v>
      </c>
      <c r="C44" s="115">
        <f t="shared" si="4"/>
        <v>1574587.6161505301</v>
      </c>
      <c r="D44" s="115">
        <f t="shared" si="7"/>
        <v>13121.563467921085</v>
      </c>
      <c r="E44" s="115">
        <f t="shared" si="6"/>
        <v>191154.22387750968</v>
      </c>
      <c r="F44" s="115">
        <f t="shared" si="5"/>
        <v>204275.78734543076</v>
      </c>
      <c r="G44" s="115">
        <f t="shared" si="3"/>
        <v>1383433.3922730205</v>
      </c>
    </row>
    <row r="45" spans="1:9" x14ac:dyDescent="0.35">
      <c r="A45" s="112"/>
      <c r="B45" s="112" t="s">
        <v>86</v>
      </c>
      <c r="C45" s="115">
        <f t="shared" si="4"/>
        <v>1383433.3922730205</v>
      </c>
      <c r="D45" s="115">
        <f t="shared" si="7"/>
        <v>11528.611602275172</v>
      </c>
      <c r="E45" s="115">
        <f t="shared" si="6"/>
        <v>192747.17574315559</v>
      </c>
      <c r="F45" s="115">
        <f t="shared" si="5"/>
        <v>204275.78734543076</v>
      </c>
      <c r="G45" s="115">
        <f t="shared" si="3"/>
        <v>1190686.2165298648</v>
      </c>
      <c r="H45" s="251"/>
      <c r="I45" s="251"/>
    </row>
    <row r="46" spans="1:9" x14ac:dyDescent="0.35">
      <c r="A46" s="112" t="s">
        <v>14</v>
      </c>
      <c r="B46" s="112" t="s">
        <v>87</v>
      </c>
      <c r="C46" s="115">
        <f t="shared" si="4"/>
        <v>1190686.2165298648</v>
      </c>
      <c r="D46" s="115">
        <f t="shared" si="7"/>
        <v>9922.3851377488736</v>
      </c>
      <c r="E46" s="115">
        <f t="shared" si="6"/>
        <v>194353.40220768188</v>
      </c>
      <c r="F46" s="115">
        <f t="shared" si="5"/>
        <v>204275.78734543076</v>
      </c>
      <c r="G46" s="115">
        <f t="shared" si="3"/>
        <v>996332.81432218291</v>
      </c>
    </row>
    <row r="47" spans="1:9" x14ac:dyDescent="0.35">
      <c r="A47" s="112"/>
      <c r="B47" s="112" t="s">
        <v>88</v>
      </c>
      <c r="C47" s="115">
        <f t="shared" si="4"/>
        <v>996332.81432218291</v>
      </c>
      <c r="D47" s="115">
        <f t="shared" si="7"/>
        <v>8302.7734526848581</v>
      </c>
      <c r="E47" s="115">
        <f t="shared" si="6"/>
        <v>195973.01389274589</v>
      </c>
      <c r="F47" s="115">
        <f t="shared" si="5"/>
        <v>204275.78734543076</v>
      </c>
      <c r="G47" s="115">
        <f t="shared" si="3"/>
        <v>800359.80042943708</v>
      </c>
    </row>
    <row r="48" spans="1:9" x14ac:dyDescent="0.35">
      <c r="A48" s="112"/>
      <c r="B48" s="112" t="s">
        <v>89</v>
      </c>
      <c r="C48" s="115">
        <f t="shared" si="4"/>
        <v>800359.80042943708</v>
      </c>
      <c r="D48" s="115">
        <f t="shared" si="7"/>
        <v>6669.6650035786433</v>
      </c>
      <c r="E48" s="115">
        <f t="shared" si="6"/>
        <v>197606.12234185211</v>
      </c>
      <c r="F48" s="115">
        <f t="shared" si="5"/>
        <v>204275.78734543076</v>
      </c>
      <c r="G48" s="115">
        <f t="shared" si="3"/>
        <v>602753.67808758491</v>
      </c>
    </row>
    <row r="49" spans="1:9" x14ac:dyDescent="0.35">
      <c r="A49" s="112"/>
      <c r="B49" s="112" t="s">
        <v>90</v>
      </c>
      <c r="C49" s="115">
        <f t="shared" si="4"/>
        <v>602753.67808758491</v>
      </c>
      <c r="D49" s="115">
        <f t="shared" si="7"/>
        <v>5022.9473173965407</v>
      </c>
      <c r="E49" s="115">
        <f t="shared" si="6"/>
        <v>199252.8400280342</v>
      </c>
      <c r="F49" s="115">
        <f t="shared" si="5"/>
        <v>204275.78734543076</v>
      </c>
      <c r="G49" s="115">
        <f t="shared" si="3"/>
        <v>403500.83805955073</v>
      </c>
    </row>
    <row r="50" spans="1:9" x14ac:dyDescent="0.35">
      <c r="A50" s="112"/>
      <c r="B50" s="112" t="s">
        <v>91</v>
      </c>
      <c r="C50" s="115">
        <f t="shared" si="4"/>
        <v>403500.83805955073</v>
      </c>
      <c r="D50" s="115">
        <f t="shared" si="7"/>
        <v>3362.5069838295894</v>
      </c>
      <c r="E50" s="115">
        <f t="shared" si="6"/>
        <v>200913.28036160115</v>
      </c>
      <c r="F50" s="115">
        <f t="shared" si="5"/>
        <v>204275.78734543076</v>
      </c>
      <c r="G50" s="115">
        <f t="shared" si="3"/>
        <v>202587.55769794958</v>
      </c>
    </row>
    <row r="51" spans="1:9" x14ac:dyDescent="0.35">
      <c r="A51" s="112"/>
      <c r="B51" s="112" t="s">
        <v>92</v>
      </c>
      <c r="C51" s="115">
        <f t="shared" si="4"/>
        <v>202587.55769794958</v>
      </c>
      <c r="D51" s="115">
        <f t="shared" si="7"/>
        <v>1688.2296474829134</v>
      </c>
      <c r="E51" s="115">
        <f t="shared" si="6"/>
        <v>202587.55769794784</v>
      </c>
      <c r="F51" s="115">
        <f t="shared" si="5"/>
        <v>204275.78734543076</v>
      </c>
      <c r="G51" s="115">
        <f t="shared" si="3"/>
        <v>1.7462298274040222E-9</v>
      </c>
    </row>
    <row r="52" spans="1:9" x14ac:dyDescent="0.35">
      <c r="A52" s="112"/>
      <c r="B52" s="112" t="s">
        <v>93</v>
      </c>
      <c r="C52" s="115">
        <f t="shared" si="4"/>
        <v>1.7462298274040222E-9</v>
      </c>
      <c r="D52" s="115">
        <f t="shared" si="7"/>
        <v>1.4551915228366852E-11</v>
      </c>
      <c r="E52" s="115">
        <f t="shared" si="6"/>
        <v>-1.4551915228366852E-11</v>
      </c>
      <c r="F52" s="115"/>
      <c r="G52" s="115">
        <f t="shared" si="3"/>
        <v>1.7607817426323891E-9</v>
      </c>
    </row>
    <row r="53" spans="1:9" x14ac:dyDescent="0.35">
      <c r="A53" s="112"/>
      <c r="B53" s="112" t="s">
        <v>94</v>
      </c>
      <c r="C53" s="115">
        <f t="shared" si="4"/>
        <v>1.7607817426323891E-9</v>
      </c>
      <c r="D53" s="115">
        <f t="shared" si="7"/>
        <v>1.4673181188603245E-11</v>
      </c>
      <c r="E53" s="115">
        <f t="shared" si="6"/>
        <v>-1.4673181188603245E-11</v>
      </c>
      <c r="F53" s="115"/>
      <c r="G53" s="115">
        <f t="shared" si="3"/>
        <v>1.7754549238209924E-9</v>
      </c>
    </row>
    <row r="54" spans="1:9" x14ac:dyDescent="0.35">
      <c r="A54" s="112"/>
      <c r="B54" s="112" t="s">
        <v>95</v>
      </c>
      <c r="C54" s="115">
        <f t="shared" si="4"/>
        <v>1.7754549238209924E-9</v>
      </c>
      <c r="D54" s="115">
        <f t="shared" si="7"/>
        <v>1.4795457698508272E-11</v>
      </c>
      <c r="E54" s="115">
        <f t="shared" si="6"/>
        <v>-1.4795457698508272E-11</v>
      </c>
      <c r="F54" s="115"/>
      <c r="G54" s="115">
        <f t="shared" si="3"/>
        <v>1.7902503815195007E-9</v>
      </c>
    </row>
    <row r="55" spans="1:9" x14ac:dyDescent="0.35">
      <c r="A55" s="112"/>
      <c r="B55" s="112" t="s">
        <v>96</v>
      </c>
      <c r="C55" s="115">
        <f t="shared" si="4"/>
        <v>1.7902503815195007E-9</v>
      </c>
      <c r="D55" s="115">
        <f t="shared" si="7"/>
        <v>1.4918753179329173E-11</v>
      </c>
      <c r="E55" s="115">
        <f t="shared" si="6"/>
        <v>-1.4918753179329173E-11</v>
      </c>
      <c r="F55" s="115"/>
      <c r="G55" s="115">
        <f t="shared" si="3"/>
        <v>1.80516913469883E-9</v>
      </c>
    </row>
    <row r="56" spans="1:9" x14ac:dyDescent="0.35">
      <c r="A56" s="112"/>
      <c r="B56" s="112" t="s">
        <v>97</v>
      </c>
      <c r="C56" s="115">
        <f t="shared" si="4"/>
        <v>1.80516913469883E-9</v>
      </c>
      <c r="D56" s="115">
        <f t="shared" si="7"/>
        <v>1.5043076122490252E-11</v>
      </c>
      <c r="E56" s="115">
        <f t="shared" si="6"/>
        <v>-1.5043076122490252E-11</v>
      </c>
      <c r="F56" s="115"/>
      <c r="G56" s="115">
        <f t="shared" si="3"/>
        <v>1.8202122108213202E-9</v>
      </c>
    </row>
    <row r="57" spans="1:9" x14ac:dyDescent="0.35">
      <c r="A57" s="112"/>
      <c r="B57" s="112" t="s">
        <v>98</v>
      </c>
      <c r="C57" s="115">
        <f t="shared" si="4"/>
        <v>1.8202122108213202E-9</v>
      </c>
      <c r="D57" s="115">
        <f t="shared" si="7"/>
        <v>1.5168435090177669E-11</v>
      </c>
      <c r="E57" s="115">
        <f t="shared" si="6"/>
        <v>-1.5168435090177669E-11</v>
      </c>
      <c r="F57" s="115"/>
      <c r="G57" s="115">
        <f t="shared" si="3"/>
        <v>1.8353806459114978E-9</v>
      </c>
      <c r="H57" s="251"/>
      <c r="I57" s="251"/>
    </row>
    <row r="58" spans="1:9" x14ac:dyDescent="0.35">
      <c r="A58" s="112" t="s">
        <v>15</v>
      </c>
      <c r="B58" s="112" t="s">
        <v>99</v>
      </c>
      <c r="C58" s="115">
        <f t="shared" si="4"/>
        <v>1.8353806459114978E-9</v>
      </c>
      <c r="D58" s="115">
        <f t="shared" si="7"/>
        <v>1.5294838715929147E-11</v>
      </c>
      <c r="E58" s="115">
        <f t="shared" si="6"/>
        <v>-1.5294838715929147E-11</v>
      </c>
      <c r="F58" s="115"/>
      <c r="G58" s="115">
        <f t="shared" si="3"/>
        <v>1.850675484627427E-9</v>
      </c>
    </row>
    <row r="59" spans="1:9" x14ac:dyDescent="0.35">
      <c r="A59" s="112"/>
      <c r="B59" s="112" t="s">
        <v>100</v>
      </c>
      <c r="C59" s="115">
        <f t="shared" si="4"/>
        <v>1.850675484627427E-9</v>
      </c>
      <c r="D59" s="115">
        <f t="shared" si="7"/>
        <v>1.5422295705228561E-11</v>
      </c>
      <c r="E59" s="115">
        <f t="shared" si="6"/>
        <v>-1.5422295705228561E-11</v>
      </c>
      <c r="F59" s="115"/>
      <c r="G59" s="115">
        <f t="shared" si="3"/>
        <v>1.8660977803326557E-9</v>
      </c>
    </row>
    <row r="60" spans="1:9" x14ac:dyDescent="0.35">
      <c r="A60" s="112"/>
      <c r="B60" s="112" t="s">
        <v>101</v>
      </c>
      <c r="C60" s="115">
        <f t="shared" si="4"/>
        <v>1.8660977803326557E-9</v>
      </c>
      <c r="D60" s="115">
        <f t="shared" si="7"/>
        <v>1.5550814836105467E-11</v>
      </c>
      <c r="E60" s="115">
        <f t="shared" si="6"/>
        <v>-1.5550814836105467E-11</v>
      </c>
      <c r="F60" s="115"/>
      <c r="G60" s="115">
        <f t="shared" si="3"/>
        <v>1.881648595168761E-9</v>
      </c>
    </row>
    <row r="61" spans="1:9" x14ac:dyDescent="0.35">
      <c r="A61" s="112"/>
      <c r="B61" s="112" t="s">
        <v>102</v>
      </c>
      <c r="C61" s="115">
        <f t="shared" si="4"/>
        <v>1.881648595168761E-9</v>
      </c>
      <c r="D61" s="115">
        <f t="shared" si="7"/>
        <v>1.5680404959739674E-11</v>
      </c>
      <c r="E61" s="115">
        <f t="shared" si="6"/>
        <v>-1.5680404959739674E-11</v>
      </c>
      <c r="F61" s="115"/>
      <c r="G61" s="115">
        <f t="shared" si="3"/>
        <v>1.8973290001285006E-9</v>
      </c>
    </row>
    <row r="62" spans="1:9" x14ac:dyDescent="0.35">
      <c r="A62" s="112"/>
      <c r="B62" s="112" t="s">
        <v>103</v>
      </c>
      <c r="C62" s="115">
        <f t="shared" si="4"/>
        <v>1.8973290001285006E-9</v>
      </c>
      <c r="D62" s="115">
        <f t="shared" si="7"/>
        <v>1.5811075001070839E-11</v>
      </c>
      <c r="E62" s="115">
        <f t="shared" si="6"/>
        <v>-1.5811075001070839E-11</v>
      </c>
      <c r="F62" s="115"/>
      <c r="G62" s="115">
        <f t="shared" si="3"/>
        <v>1.9131400751295715E-9</v>
      </c>
    </row>
    <row r="63" spans="1:9" x14ac:dyDescent="0.35">
      <c r="A63" s="112"/>
      <c r="B63" s="112" t="s">
        <v>104</v>
      </c>
      <c r="C63" s="115">
        <f t="shared" si="4"/>
        <v>1.9131400751295715E-9</v>
      </c>
      <c r="D63" s="115">
        <f t="shared" si="7"/>
        <v>1.5942833959413097E-11</v>
      </c>
      <c r="E63" s="115">
        <f t="shared" si="6"/>
        <v>-1.5942833959413097E-11</v>
      </c>
      <c r="F63" s="115"/>
      <c r="G63" s="115">
        <f t="shared" si="3"/>
        <v>1.9290829090889847E-9</v>
      </c>
    </row>
    <row r="64" spans="1:9" x14ac:dyDescent="0.35">
      <c r="A64" s="112"/>
      <c r="B64" s="112" t="s">
        <v>105</v>
      </c>
      <c r="C64" s="115">
        <f t="shared" si="4"/>
        <v>1.9290829090889847E-9</v>
      </c>
      <c r="D64" s="115">
        <f t="shared" si="7"/>
        <v>1.6075690909074874E-11</v>
      </c>
      <c r="E64" s="115">
        <f t="shared" si="6"/>
        <v>-1.6075690909074874E-11</v>
      </c>
      <c r="F64" s="115"/>
      <c r="G64" s="115">
        <f t="shared" si="3"/>
        <v>1.9451585999980597E-9</v>
      </c>
    </row>
    <row r="65" spans="1:9" x14ac:dyDescent="0.35">
      <c r="A65" s="112"/>
      <c r="B65" s="112" t="s">
        <v>106</v>
      </c>
      <c r="C65" s="115">
        <f t="shared" si="4"/>
        <v>1.9451585999980597E-9</v>
      </c>
      <c r="D65" s="115">
        <f t="shared" si="7"/>
        <v>1.6209654999983831E-11</v>
      </c>
      <c r="E65" s="115">
        <f t="shared" si="6"/>
        <v>-1.6209654999983831E-11</v>
      </c>
      <c r="F65" s="115"/>
      <c r="G65" s="115">
        <f t="shared" si="3"/>
        <v>1.9613682549980437E-9</v>
      </c>
    </row>
    <row r="66" spans="1:9" x14ac:dyDescent="0.35">
      <c r="A66" s="112"/>
      <c r="B66" s="112" t="s">
        <v>107</v>
      </c>
      <c r="C66" s="115">
        <f t="shared" si="4"/>
        <v>1.9613682549980437E-9</v>
      </c>
      <c r="D66" s="115">
        <f t="shared" si="7"/>
        <v>1.634473545831703E-11</v>
      </c>
      <c r="E66" s="115">
        <f t="shared" si="6"/>
        <v>-1.634473545831703E-11</v>
      </c>
      <c r="F66" s="115"/>
      <c r="G66" s="115">
        <f t="shared" si="3"/>
        <v>1.9777129904563606E-9</v>
      </c>
    </row>
    <row r="67" spans="1:9" x14ac:dyDescent="0.35">
      <c r="A67" s="112"/>
      <c r="B67" s="112" t="s">
        <v>108</v>
      </c>
      <c r="C67" s="115">
        <f t="shared" si="4"/>
        <v>1.9777129904563606E-9</v>
      </c>
      <c r="D67" s="115">
        <f t="shared" si="7"/>
        <v>1.6480941587136338E-11</v>
      </c>
      <c r="E67" s="115">
        <f t="shared" si="6"/>
        <v>-1.6480941587136338E-11</v>
      </c>
      <c r="F67" s="115"/>
      <c r="G67" s="115">
        <f t="shared" si="3"/>
        <v>1.9941939320434968E-9</v>
      </c>
    </row>
    <row r="68" spans="1:9" x14ac:dyDescent="0.35">
      <c r="A68" s="112"/>
      <c r="B68" s="112" t="s">
        <v>109</v>
      </c>
      <c r="C68" s="115">
        <f t="shared" si="4"/>
        <v>1.9941939320434968E-9</v>
      </c>
      <c r="D68" s="115">
        <f t="shared" si="7"/>
        <v>1.661828276702914E-11</v>
      </c>
      <c r="E68" s="115">
        <f t="shared" si="6"/>
        <v>-1.661828276702914E-11</v>
      </c>
      <c r="F68" s="115"/>
      <c r="G68" s="115">
        <f t="shared" si="3"/>
        <v>2.0108122148105261E-9</v>
      </c>
    </row>
    <row r="69" spans="1:9" x14ac:dyDescent="0.35">
      <c r="A69" s="112"/>
      <c r="B69" s="112" t="s">
        <v>110</v>
      </c>
      <c r="C69" s="115">
        <f t="shared" si="4"/>
        <v>2.0108122148105261E-9</v>
      </c>
      <c r="D69" s="115">
        <f t="shared" si="7"/>
        <v>1.6756768456754385E-11</v>
      </c>
      <c r="E69" s="115">
        <f t="shared" si="6"/>
        <v>-1.6756768456754385E-11</v>
      </c>
      <c r="F69" s="115"/>
      <c r="G69" s="115">
        <f t="shared" si="3"/>
        <v>2.0275689832672806E-9</v>
      </c>
      <c r="H69" s="251"/>
      <c r="I69" s="251"/>
    </row>
    <row r="70" spans="1:9" x14ac:dyDescent="0.35">
      <c r="A70" s="112" t="s">
        <v>16</v>
      </c>
      <c r="B70" s="112" t="s">
        <v>111</v>
      </c>
      <c r="C70" s="115">
        <f t="shared" si="4"/>
        <v>2.0275689832672806E-9</v>
      </c>
      <c r="D70" s="115">
        <f t="shared" si="7"/>
        <v>1.6896408193894004E-11</v>
      </c>
      <c r="E70" s="115">
        <f t="shared" si="6"/>
        <v>-1.6896408193894004E-11</v>
      </c>
      <c r="F70" s="115"/>
      <c r="G70" s="115">
        <f t="shared" si="3"/>
        <v>2.0444653914611744E-9</v>
      </c>
    </row>
    <row r="71" spans="1:9" x14ac:dyDescent="0.35">
      <c r="A71" s="112"/>
      <c r="B71" s="112" t="s">
        <v>112</v>
      </c>
      <c r="C71" s="115">
        <f t="shared" si="4"/>
        <v>2.0444653914611744E-9</v>
      </c>
      <c r="D71" s="115">
        <f t="shared" si="7"/>
        <v>1.7037211595509789E-11</v>
      </c>
      <c r="E71" s="115">
        <f t="shared" si="6"/>
        <v>-1.7037211595509789E-11</v>
      </c>
      <c r="F71" s="115"/>
      <c r="G71" s="115">
        <f t="shared" si="3"/>
        <v>2.0615026030566842E-9</v>
      </c>
    </row>
    <row r="72" spans="1:9" x14ac:dyDescent="0.35">
      <c r="A72" s="112"/>
      <c r="B72" s="112" t="s">
        <v>113</v>
      </c>
      <c r="C72" s="115">
        <f t="shared" si="4"/>
        <v>2.0615026030566842E-9</v>
      </c>
      <c r="D72" s="115">
        <f t="shared" si="7"/>
        <v>1.7179188358805703E-11</v>
      </c>
      <c r="E72" s="115">
        <f t="shared" si="6"/>
        <v>-1.7179188358805703E-11</v>
      </c>
      <c r="F72" s="115"/>
      <c r="G72" s="115">
        <f t="shared" si="3"/>
        <v>2.0786817914154901E-9</v>
      </c>
    </row>
    <row r="73" spans="1:9" x14ac:dyDescent="0.35">
      <c r="A73" s="112"/>
      <c r="B73" s="112" t="s">
        <v>114</v>
      </c>
      <c r="C73" s="115">
        <f t="shared" si="4"/>
        <v>2.0786817914154901E-9</v>
      </c>
      <c r="D73" s="115">
        <f t="shared" si="7"/>
        <v>1.7322348261795752E-11</v>
      </c>
      <c r="E73" s="115">
        <f t="shared" si="6"/>
        <v>-1.7322348261795752E-11</v>
      </c>
      <c r="F73" s="115"/>
      <c r="G73" s="115">
        <f t="shared" si="3"/>
        <v>2.0960041396772859E-9</v>
      </c>
    </row>
    <row r="74" spans="1:9" x14ac:dyDescent="0.35">
      <c r="A74" s="112"/>
      <c r="B74" s="112" t="s">
        <v>115</v>
      </c>
      <c r="C74" s="115">
        <f t="shared" si="4"/>
        <v>2.0960041396772859E-9</v>
      </c>
      <c r="D74" s="115">
        <f t="shared" ref="D74:D93" si="8">C74*$D$5/12</f>
        <v>1.7466701163977384E-11</v>
      </c>
      <c r="E74" s="115">
        <f t="shared" si="6"/>
        <v>-1.7466701163977384E-11</v>
      </c>
      <c r="F74" s="115"/>
      <c r="G74" s="115">
        <f t="shared" si="3"/>
        <v>2.1134708408412631E-9</v>
      </c>
    </row>
    <row r="75" spans="1:9" x14ac:dyDescent="0.35">
      <c r="A75" s="112"/>
      <c r="B75" s="112" t="s">
        <v>116</v>
      </c>
      <c r="C75" s="115">
        <f t="shared" si="4"/>
        <v>2.1134708408412631E-9</v>
      </c>
      <c r="D75" s="115">
        <f t="shared" si="8"/>
        <v>1.7612257007010529E-11</v>
      </c>
      <c r="E75" s="115">
        <f t="shared" si="6"/>
        <v>-1.7612257007010529E-11</v>
      </c>
      <c r="F75" s="115"/>
      <c r="G75" s="115">
        <f t="shared" ref="G75:G93" si="9">C75-E75</f>
        <v>2.1310830978482735E-9</v>
      </c>
    </row>
    <row r="76" spans="1:9" x14ac:dyDescent="0.35">
      <c r="A76" s="112"/>
      <c r="B76" s="112" t="s">
        <v>117</v>
      </c>
      <c r="C76" s="115">
        <f t="shared" ref="C76:C93" si="10">G75</f>
        <v>2.1310830978482735E-9</v>
      </c>
      <c r="D76" s="115">
        <f t="shared" si="8"/>
        <v>1.7759025815402279E-11</v>
      </c>
      <c r="E76" s="115">
        <f t="shared" si="6"/>
        <v>-1.7759025815402279E-11</v>
      </c>
      <c r="F76" s="115"/>
      <c r="G76" s="115">
        <f t="shared" si="9"/>
        <v>2.1488421236636757E-9</v>
      </c>
    </row>
    <row r="77" spans="1:9" x14ac:dyDescent="0.35">
      <c r="A77" s="112"/>
      <c r="B77" s="112" t="s">
        <v>118</v>
      </c>
      <c r="C77" s="115">
        <f t="shared" si="10"/>
        <v>2.1488421236636757E-9</v>
      </c>
      <c r="D77" s="115">
        <f t="shared" si="8"/>
        <v>1.7907017697197299E-11</v>
      </c>
      <c r="E77" s="115">
        <f t="shared" si="6"/>
        <v>-1.7907017697197299E-11</v>
      </c>
      <c r="F77" s="115"/>
      <c r="G77" s="115">
        <f t="shared" si="9"/>
        <v>2.1667491413608731E-9</v>
      </c>
    </row>
    <row r="78" spans="1:9" x14ac:dyDescent="0.35">
      <c r="A78" s="112"/>
      <c r="B78" s="112" t="s">
        <v>119</v>
      </c>
      <c r="C78" s="115">
        <f t="shared" si="10"/>
        <v>2.1667491413608731E-9</v>
      </c>
      <c r="D78" s="115">
        <f t="shared" si="8"/>
        <v>1.8056242844673943E-11</v>
      </c>
      <c r="E78" s="115">
        <f t="shared" si="6"/>
        <v>-1.8056242844673943E-11</v>
      </c>
      <c r="F78" s="115"/>
      <c r="G78" s="115">
        <f t="shared" si="9"/>
        <v>2.1848053842055468E-9</v>
      </c>
    </row>
    <row r="79" spans="1:9" x14ac:dyDescent="0.35">
      <c r="A79" s="112"/>
      <c r="B79" s="112" t="s">
        <v>120</v>
      </c>
      <c r="C79" s="115">
        <f t="shared" si="10"/>
        <v>2.1848053842055468E-9</v>
      </c>
      <c r="D79" s="115">
        <f t="shared" si="8"/>
        <v>1.8206711535046223E-11</v>
      </c>
      <c r="E79" s="115">
        <f t="shared" si="6"/>
        <v>-1.8206711535046223E-11</v>
      </c>
      <c r="F79" s="115"/>
      <c r="G79" s="115">
        <f t="shared" si="9"/>
        <v>2.2030120957405932E-9</v>
      </c>
    </row>
    <row r="80" spans="1:9" x14ac:dyDescent="0.35">
      <c r="A80" s="112"/>
      <c r="B80" s="112" t="s">
        <v>121</v>
      </c>
      <c r="C80" s="115">
        <f t="shared" si="10"/>
        <v>2.2030120957405932E-9</v>
      </c>
      <c r="D80" s="115">
        <f t="shared" si="8"/>
        <v>1.8358434131171612E-11</v>
      </c>
      <c r="E80" s="115">
        <f t="shared" si="6"/>
        <v>-1.8358434131171612E-11</v>
      </c>
      <c r="F80" s="115"/>
      <c r="G80" s="115">
        <f t="shared" si="9"/>
        <v>2.2213705298717649E-9</v>
      </c>
    </row>
    <row r="81" spans="1:9" x14ac:dyDescent="0.35">
      <c r="A81" s="112"/>
      <c r="B81" s="112" t="s">
        <v>122</v>
      </c>
      <c r="C81" s="115">
        <f t="shared" si="10"/>
        <v>2.2213705298717649E-9</v>
      </c>
      <c r="D81" s="115">
        <f t="shared" si="8"/>
        <v>1.8511421082264707E-11</v>
      </c>
      <c r="E81" s="115">
        <f t="shared" ref="E81:E93" si="11">F81-D81</f>
        <v>-1.8511421082264707E-11</v>
      </c>
      <c r="F81" s="115"/>
      <c r="G81" s="115">
        <f t="shared" si="9"/>
        <v>2.2398819509540297E-9</v>
      </c>
      <c r="H81" s="251"/>
      <c r="I81" s="251"/>
    </row>
    <row r="82" spans="1:9" x14ac:dyDescent="0.35">
      <c r="A82" s="112" t="s">
        <v>277</v>
      </c>
      <c r="B82" s="112" t="s">
        <v>212</v>
      </c>
      <c r="C82" s="115">
        <f t="shared" si="10"/>
        <v>2.2398819509540297E-9</v>
      </c>
      <c r="D82" s="115">
        <f t="shared" si="8"/>
        <v>1.8665682924616915E-11</v>
      </c>
      <c r="E82" s="115">
        <f t="shared" si="11"/>
        <v>-1.8665682924616915E-11</v>
      </c>
      <c r="F82" s="115"/>
      <c r="G82" s="115">
        <f t="shared" si="9"/>
        <v>2.2585476338786468E-9</v>
      </c>
    </row>
    <row r="83" spans="1:9" x14ac:dyDescent="0.35">
      <c r="A83" s="112"/>
      <c r="B83" s="112" t="s">
        <v>213</v>
      </c>
      <c r="C83" s="115">
        <f t="shared" si="10"/>
        <v>2.2585476338786468E-9</v>
      </c>
      <c r="D83" s="115">
        <f t="shared" si="8"/>
        <v>1.8821230282322057E-11</v>
      </c>
      <c r="E83" s="115">
        <f t="shared" si="11"/>
        <v>-1.8821230282322057E-11</v>
      </c>
      <c r="F83" s="115"/>
      <c r="G83" s="115">
        <f t="shared" si="9"/>
        <v>2.277368864160969E-9</v>
      </c>
    </row>
    <row r="84" spans="1:9" x14ac:dyDescent="0.35">
      <c r="A84" s="112"/>
      <c r="B84" s="112" t="s">
        <v>214</v>
      </c>
      <c r="C84" s="115">
        <f t="shared" si="10"/>
        <v>2.277368864160969E-9</v>
      </c>
      <c r="D84" s="115">
        <f t="shared" si="8"/>
        <v>1.8978073868008074E-11</v>
      </c>
      <c r="E84" s="115">
        <f t="shared" si="11"/>
        <v>-1.8978073868008074E-11</v>
      </c>
      <c r="F84" s="115"/>
      <c r="G84" s="115">
        <f t="shared" si="9"/>
        <v>2.2963469380289769E-9</v>
      </c>
    </row>
    <row r="85" spans="1:9" x14ac:dyDescent="0.35">
      <c r="A85" s="112"/>
      <c r="B85" s="112" t="s">
        <v>215</v>
      </c>
      <c r="C85" s="115">
        <f t="shared" si="10"/>
        <v>2.2963469380289769E-9</v>
      </c>
      <c r="D85" s="115">
        <f t="shared" si="8"/>
        <v>1.9136224483574807E-11</v>
      </c>
      <c r="E85" s="115">
        <f t="shared" si="11"/>
        <v>-1.9136224483574807E-11</v>
      </c>
      <c r="F85" s="115"/>
      <c r="G85" s="115">
        <f t="shared" si="9"/>
        <v>2.3154831625125516E-9</v>
      </c>
    </row>
    <row r="86" spans="1:9" x14ac:dyDescent="0.35">
      <c r="A86" s="112"/>
      <c r="B86" s="112" t="s">
        <v>216</v>
      </c>
      <c r="C86" s="115">
        <f t="shared" si="10"/>
        <v>2.3154831625125516E-9</v>
      </c>
      <c r="D86" s="115">
        <f t="shared" si="8"/>
        <v>1.9295693020937931E-11</v>
      </c>
      <c r="E86" s="115">
        <f t="shared" si="11"/>
        <v>-1.9295693020937931E-11</v>
      </c>
      <c r="F86" s="115"/>
      <c r="G86" s="115">
        <f t="shared" si="9"/>
        <v>2.3347788555334894E-9</v>
      </c>
    </row>
    <row r="87" spans="1:9" x14ac:dyDescent="0.35">
      <c r="A87" s="112"/>
      <c r="B87" s="112" t="s">
        <v>217</v>
      </c>
      <c r="C87" s="115">
        <f t="shared" si="10"/>
        <v>2.3347788555334894E-9</v>
      </c>
      <c r="D87" s="115">
        <f t="shared" si="8"/>
        <v>1.9456490462779076E-11</v>
      </c>
      <c r="E87" s="115">
        <f t="shared" si="11"/>
        <v>-1.9456490462779076E-11</v>
      </c>
      <c r="F87" s="115"/>
      <c r="G87" s="115">
        <f t="shared" si="9"/>
        <v>2.3542353459962685E-9</v>
      </c>
    </row>
    <row r="88" spans="1:9" x14ac:dyDescent="0.35">
      <c r="A88" s="112"/>
      <c r="B88" s="112" t="s">
        <v>218</v>
      </c>
      <c r="C88" s="115">
        <f t="shared" si="10"/>
        <v>2.3542353459962685E-9</v>
      </c>
      <c r="D88" s="115">
        <f t="shared" si="8"/>
        <v>1.961862788330224E-11</v>
      </c>
      <c r="E88" s="115">
        <f t="shared" si="11"/>
        <v>-1.961862788330224E-11</v>
      </c>
      <c r="F88" s="115"/>
      <c r="G88" s="115">
        <f t="shared" si="9"/>
        <v>2.3738539738795707E-9</v>
      </c>
    </row>
    <row r="89" spans="1:9" x14ac:dyDescent="0.35">
      <c r="A89" s="112"/>
      <c r="B89" s="112" t="s">
        <v>219</v>
      </c>
      <c r="C89" s="115">
        <f t="shared" si="10"/>
        <v>2.3738539738795707E-9</v>
      </c>
      <c r="D89" s="115">
        <f t="shared" si="8"/>
        <v>1.978211644899642E-11</v>
      </c>
      <c r="E89" s="115">
        <f t="shared" si="11"/>
        <v>-1.978211644899642E-11</v>
      </c>
      <c r="F89" s="115"/>
      <c r="G89" s="115">
        <f t="shared" si="9"/>
        <v>2.3936360903285671E-9</v>
      </c>
    </row>
    <row r="90" spans="1:9" x14ac:dyDescent="0.35">
      <c r="A90" s="112"/>
      <c r="B90" s="112" t="s">
        <v>220</v>
      </c>
      <c r="C90" s="115">
        <f t="shared" si="10"/>
        <v>2.3936360903285671E-9</v>
      </c>
      <c r="D90" s="115">
        <f t="shared" si="8"/>
        <v>1.9946967419404724E-11</v>
      </c>
      <c r="E90" s="115">
        <f t="shared" si="11"/>
        <v>-1.9946967419404724E-11</v>
      </c>
      <c r="F90" s="115"/>
      <c r="G90" s="115">
        <f t="shared" si="9"/>
        <v>2.4135830577479717E-9</v>
      </c>
    </row>
    <row r="91" spans="1:9" x14ac:dyDescent="0.35">
      <c r="A91" s="112"/>
      <c r="B91" s="112" t="s">
        <v>221</v>
      </c>
      <c r="C91" s="115">
        <f t="shared" si="10"/>
        <v>2.4135830577479717E-9</v>
      </c>
      <c r="D91" s="115">
        <f t="shared" si="8"/>
        <v>2.0113192147899764E-11</v>
      </c>
      <c r="E91" s="115">
        <f t="shared" si="11"/>
        <v>-2.0113192147899764E-11</v>
      </c>
      <c r="F91" s="115"/>
      <c r="G91" s="115">
        <f t="shared" si="9"/>
        <v>2.4336962498958712E-9</v>
      </c>
    </row>
    <row r="92" spans="1:9" x14ac:dyDescent="0.35">
      <c r="A92" s="112"/>
      <c r="B92" s="112" t="s">
        <v>222</v>
      </c>
      <c r="C92" s="115">
        <f t="shared" si="10"/>
        <v>2.4336962498958712E-9</v>
      </c>
      <c r="D92" s="115">
        <f t="shared" si="8"/>
        <v>2.0280802082465594E-11</v>
      </c>
      <c r="E92" s="115">
        <f t="shared" si="11"/>
        <v>-2.0280802082465594E-11</v>
      </c>
      <c r="F92" s="115"/>
      <c r="G92" s="115">
        <f t="shared" si="9"/>
        <v>2.453977051978337E-9</v>
      </c>
    </row>
    <row r="93" spans="1:9" x14ac:dyDescent="0.35">
      <c r="A93" s="112"/>
      <c r="B93" s="112" t="s">
        <v>223</v>
      </c>
      <c r="C93" s="115">
        <f t="shared" si="10"/>
        <v>2.453977051978337E-9</v>
      </c>
      <c r="D93" s="115">
        <f t="shared" si="8"/>
        <v>2.0449808766486142E-11</v>
      </c>
      <c r="E93" s="115">
        <f t="shared" si="11"/>
        <v>-2.0449808766486142E-11</v>
      </c>
      <c r="F93" s="115"/>
      <c r="G93" s="115">
        <f t="shared" si="9"/>
        <v>2.474426860744823E-9</v>
      </c>
    </row>
    <row r="94" spans="1:9" x14ac:dyDescent="0.35">
      <c r="D94" s="251">
        <f>SUM(D10:D93)</f>
        <v>1339707.2469355084</v>
      </c>
      <c r="E94" s="251">
        <f>SUM(E10:E93)</f>
        <v>6330759.0499999989</v>
      </c>
    </row>
    <row r="95" spans="1:9" ht="40" customHeight="1" x14ac:dyDescent="0.35">
      <c r="A95" s="436" t="s">
        <v>413</v>
      </c>
      <c r="B95" s="436"/>
      <c r="C95" s="436"/>
      <c r="D95" s="436"/>
      <c r="E95" s="436"/>
      <c r="F95" s="436"/>
      <c r="G95" s="436"/>
      <c r="H95" s="436"/>
    </row>
    <row r="96" spans="1:9" x14ac:dyDescent="0.35">
      <c r="A96" s="107" t="s">
        <v>531</v>
      </c>
    </row>
    <row r="97" spans="1:2" x14ac:dyDescent="0.35">
      <c r="A97" s="107">
        <v>1</v>
      </c>
      <c r="B97" s="107" t="s">
        <v>532</v>
      </c>
    </row>
    <row r="98" spans="1:2" x14ac:dyDescent="0.35">
      <c r="A98" s="107">
        <v>2</v>
      </c>
      <c r="B98" s="107" t="s">
        <v>533</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58"/>
  <sheetViews>
    <sheetView view="pageBreakPreview" topLeftCell="A31" zoomScale="80" zoomScaleSheetLayoutView="80" workbookViewId="0">
      <selection activeCell="A54" sqref="A54:L54"/>
    </sheetView>
  </sheetViews>
  <sheetFormatPr defaultColWidth="8.7265625" defaultRowHeight="14.5" x14ac:dyDescent="0.35"/>
  <cols>
    <col min="1" max="1" width="8.7265625" style="107"/>
    <col min="2" max="2" width="7.54296875" style="107" bestFit="1" customWidth="1"/>
    <col min="3" max="3" width="30.54296875" style="107" customWidth="1"/>
    <col min="4" max="4" width="16.81640625" style="107" bestFit="1" customWidth="1"/>
    <col min="5" max="5" width="15.7265625" style="107" customWidth="1"/>
    <col min="6" max="6" width="16" style="107" bestFit="1" customWidth="1"/>
    <col min="7" max="7" width="20.453125" style="107" bestFit="1" customWidth="1"/>
    <col min="8" max="8" width="23.1796875" style="107" bestFit="1" customWidth="1"/>
    <col min="9" max="9" width="26.81640625" style="107" bestFit="1" customWidth="1"/>
    <col min="10" max="10" width="29.453125" style="107" bestFit="1" customWidth="1"/>
    <col min="11" max="11" width="32.1796875" style="107" bestFit="1" customWidth="1"/>
    <col min="12" max="13" width="8.7265625" style="107"/>
    <col min="14" max="14" width="24" style="107" hidden="1" customWidth="1"/>
    <col min="15" max="15" width="11.81640625" style="107" hidden="1" customWidth="1"/>
    <col min="16" max="16" width="9.54296875" style="107" hidden="1" customWidth="1"/>
    <col min="17" max="17" width="10.81640625" style="107" hidden="1" customWidth="1"/>
    <col min="18" max="18" width="11.26953125" style="107" hidden="1" customWidth="1"/>
    <col min="19" max="20" width="0" style="107" hidden="1" customWidth="1"/>
    <col min="21" max="21" width="24" style="107" hidden="1" customWidth="1"/>
    <col min="22" max="22" width="12.54296875" style="107" hidden="1" customWidth="1"/>
    <col min="23" max="23" width="0" style="107" hidden="1" customWidth="1"/>
    <col min="24" max="16384" width="8.7265625" style="107"/>
  </cols>
  <sheetData>
    <row r="2" spans="3:22" x14ac:dyDescent="0.35">
      <c r="C2" s="423" t="s">
        <v>547</v>
      </c>
      <c r="D2" s="423"/>
      <c r="E2" s="423"/>
      <c r="F2" s="423"/>
      <c r="G2" s="423"/>
      <c r="H2" s="423"/>
      <c r="I2" s="423"/>
      <c r="J2" s="423"/>
      <c r="K2" s="423"/>
      <c r="L2" s="207"/>
    </row>
    <row r="3" spans="3:22" x14ac:dyDescent="0.35">
      <c r="C3" s="181" t="s">
        <v>0</v>
      </c>
      <c r="D3" s="181"/>
      <c r="E3" s="195" t="s">
        <v>2</v>
      </c>
      <c r="F3" s="195" t="s">
        <v>3</v>
      </c>
      <c r="G3" s="195" t="s">
        <v>4</v>
      </c>
      <c r="H3" s="195" t="s">
        <v>5</v>
      </c>
      <c r="I3" s="195" t="s">
        <v>6</v>
      </c>
      <c r="J3" s="195" t="s">
        <v>165</v>
      </c>
      <c r="K3" s="195" t="s">
        <v>164</v>
      </c>
      <c r="N3" s="313"/>
      <c r="O3" s="313"/>
      <c r="P3" s="313"/>
      <c r="Q3" s="313"/>
      <c r="R3" s="313"/>
      <c r="S3" s="313"/>
      <c r="T3" s="313"/>
      <c r="U3" s="313"/>
      <c r="V3" s="313"/>
    </row>
    <row r="4" spans="3:22" x14ac:dyDescent="0.35">
      <c r="C4" s="112" t="s">
        <v>360</v>
      </c>
      <c r="D4" s="112"/>
      <c r="E4" s="112"/>
      <c r="F4" s="112"/>
      <c r="G4" s="112"/>
      <c r="H4" s="112"/>
      <c r="I4" s="112"/>
      <c r="J4" s="112"/>
      <c r="K4" s="112"/>
      <c r="N4" s="446" t="s">
        <v>527</v>
      </c>
      <c r="O4" s="446"/>
      <c r="P4" s="446"/>
      <c r="Q4" s="446"/>
      <c r="R4" s="446"/>
      <c r="S4" s="313"/>
      <c r="T4" s="313"/>
      <c r="U4" s="446" t="s">
        <v>528</v>
      </c>
      <c r="V4" s="446"/>
    </row>
    <row r="5" spans="3:22" x14ac:dyDescent="0.35">
      <c r="C5" s="112" t="s">
        <v>361</v>
      </c>
      <c r="D5" s="183"/>
      <c r="E5" s="112"/>
      <c r="F5" s="115">
        <f t="shared" ref="F5:K8" si="0">E14</f>
        <v>0</v>
      </c>
      <c r="G5" s="115">
        <f t="shared" si="0"/>
        <v>0</v>
      </c>
      <c r="H5" s="115">
        <f t="shared" si="0"/>
        <v>0</v>
      </c>
      <c r="I5" s="115">
        <f t="shared" si="0"/>
        <v>0</v>
      </c>
      <c r="J5" s="115">
        <f t="shared" si="0"/>
        <v>0</v>
      </c>
      <c r="K5" s="115">
        <f t="shared" si="0"/>
        <v>0</v>
      </c>
      <c r="N5" s="445" t="s">
        <v>529</v>
      </c>
      <c r="O5" s="445"/>
      <c r="P5" s="445"/>
      <c r="Q5" s="445"/>
      <c r="R5" s="445"/>
      <c r="S5" s="313"/>
      <c r="T5" s="313"/>
      <c r="U5" s="445" t="s">
        <v>529</v>
      </c>
      <c r="V5" s="445"/>
    </row>
    <row r="6" spans="3:22" x14ac:dyDescent="0.35">
      <c r="C6" s="112" t="s">
        <v>451</v>
      </c>
      <c r="D6" s="183"/>
      <c r="E6" s="112"/>
      <c r="F6" s="115">
        <f t="shared" si="0"/>
        <v>1375765.4808265502</v>
      </c>
      <c r="G6" s="115">
        <f t="shared" si="0"/>
        <v>1589009.1303546652</v>
      </c>
      <c r="H6" s="115">
        <f t="shared" si="0"/>
        <v>1820137.731133526</v>
      </c>
      <c r="I6" s="115">
        <f t="shared" si="0"/>
        <v>2070406.6691643861</v>
      </c>
      <c r="J6" s="115">
        <f t="shared" si="0"/>
        <v>2341152.1566704982</v>
      </c>
      <c r="K6" s="115">
        <f t="shared" si="0"/>
        <v>2633796.1762543106</v>
      </c>
      <c r="N6" s="314" t="s">
        <v>0</v>
      </c>
      <c r="O6" s="314" t="s">
        <v>159</v>
      </c>
      <c r="P6" s="314" t="s">
        <v>160</v>
      </c>
      <c r="Q6" s="314" t="s">
        <v>313</v>
      </c>
      <c r="R6" s="314" t="s">
        <v>314</v>
      </c>
      <c r="S6" s="313"/>
      <c r="T6" s="313"/>
      <c r="U6" s="315" t="s">
        <v>0</v>
      </c>
      <c r="V6" s="315" t="s">
        <v>486</v>
      </c>
    </row>
    <row r="7" spans="3:22" x14ac:dyDescent="0.35">
      <c r="C7" s="112" t="s">
        <v>683</v>
      </c>
      <c r="D7" s="183"/>
      <c r="E7" s="112"/>
      <c r="F7" s="115">
        <f t="shared" si="0"/>
        <v>0</v>
      </c>
      <c r="G7" s="115">
        <f t="shared" si="0"/>
        <v>0</v>
      </c>
      <c r="H7" s="115">
        <f t="shared" si="0"/>
        <v>0</v>
      </c>
      <c r="I7" s="115">
        <f t="shared" si="0"/>
        <v>0</v>
      </c>
      <c r="J7" s="115">
        <f t="shared" si="0"/>
        <v>0</v>
      </c>
      <c r="K7" s="115">
        <f t="shared" si="0"/>
        <v>0</v>
      </c>
      <c r="N7" s="316" t="s">
        <v>362</v>
      </c>
      <c r="O7" s="316">
        <f>'13.Facility 2 Grain Processing'!C155</f>
        <v>20</v>
      </c>
      <c r="P7" s="316">
        <f>'13.Facility 2 Grain Processing'!C156</f>
        <v>20</v>
      </c>
      <c r="Q7" s="316">
        <f>'13.Facility 2 Grain Processing'!C157</f>
        <v>35</v>
      </c>
      <c r="R7" s="316">
        <f>'13.Facility 2 Grain Processing'!C158</f>
        <v>30</v>
      </c>
      <c r="S7" s="313"/>
      <c r="T7" s="313"/>
      <c r="U7" s="316" t="s">
        <v>340</v>
      </c>
      <c r="V7" s="316">
        <f>'17.Facility 6 Horti Processing '!C163</f>
        <v>0</v>
      </c>
    </row>
    <row r="8" spans="3:22" x14ac:dyDescent="0.35">
      <c r="C8" s="112" t="str">
        <f>C17</f>
        <v xml:space="preserve">Horticulture Processing </v>
      </c>
      <c r="D8" s="112"/>
      <c r="E8" s="112"/>
      <c r="F8" s="115">
        <f>E17</f>
        <v>0</v>
      </c>
      <c r="G8" s="115">
        <f t="shared" si="0"/>
        <v>0</v>
      </c>
      <c r="H8" s="115">
        <f t="shared" si="0"/>
        <v>0</v>
      </c>
      <c r="I8" s="115">
        <f t="shared" si="0"/>
        <v>0</v>
      </c>
      <c r="J8" s="115">
        <f t="shared" si="0"/>
        <v>0</v>
      </c>
      <c r="K8" s="115">
        <f t="shared" si="0"/>
        <v>0</v>
      </c>
      <c r="N8" s="316">
        <f>'13.Facility 2 Grain Processing'!A159</f>
        <v>0</v>
      </c>
      <c r="O8" s="316">
        <f>('13.Facility 2 Grain Processing'!B159*'13.Facility 2 Grain Processing'!C159/1000)*100</f>
        <v>0</v>
      </c>
      <c r="P8" s="316">
        <f>O8</f>
        <v>0</v>
      </c>
      <c r="Q8" s="316">
        <f t="shared" ref="Q8:R8" si="1">P8</f>
        <v>0</v>
      </c>
      <c r="R8" s="316">
        <f t="shared" si="1"/>
        <v>0</v>
      </c>
      <c r="S8" s="313"/>
      <c r="T8" s="313"/>
      <c r="U8" s="316" t="str">
        <f>'17.Facility 6 Horti Processing '!A164</f>
        <v>Other Consumbales</v>
      </c>
      <c r="V8" s="317">
        <f>'17.Facility 6 Horti Processing '!C164</f>
        <v>0</v>
      </c>
    </row>
    <row r="9" spans="3:22" x14ac:dyDescent="0.35">
      <c r="C9" s="112"/>
      <c r="D9" s="112"/>
      <c r="E9" s="112"/>
      <c r="F9" s="115"/>
      <c r="G9" s="115"/>
      <c r="H9" s="115"/>
      <c r="I9" s="115"/>
      <c r="J9" s="115"/>
      <c r="K9" s="115"/>
      <c r="N9" s="316" t="str">
        <f>'13.Facility 2 Grain Processing'!A160</f>
        <v xml:space="preserve">Daily Labour </v>
      </c>
      <c r="O9" s="318">
        <f>('13.Facility 2 Grain Processing'!B160*'13.Facility 2 Grain Processing'!C160)/('13.Facility 2 Grain Processing'!B5*'13.Facility 2 Grain Processing'!B6)</f>
        <v>109.375</v>
      </c>
      <c r="P9" s="318">
        <f>O9</f>
        <v>109.375</v>
      </c>
      <c r="Q9" s="318">
        <f t="shared" ref="Q9:R9" si="2">P9</f>
        <v>109.375</v>
      </c>
      <c r="R9" s="318">
        <f t="shared" si="2"/>
        <v>109.375</v>
      </c>
      <c r="S9" s="313"/>
      <c r="T9" s="313"/>
      <c r="U9" s="316" t="str">
        <f>'17.Facility 6 Horti Processing '!A165</f>
        <v xml:space="preserve">Daily Labour </v>
      </c>
      <c r="V9" s="317">
        <f>'17.Facility 6 Horti Processing '!B165*'17.Facility 6 Horti Processing '!C165/('17.Facility 6 Horti Processing '!B5*'17.Facility 6 Horti Processing '!B6)</f>
        <v>0</v>
      </c>
    </row>
    <row r="10" spans="3:22" x14ac:dyDescent="0.35">
      <c r="C10" s="112"/>
      <c r="D10" s="112"/>
      <c r="E10" s="112"/>
      <c r="F10" s="115"/>
      <c r="G10" s="115"/>
      <c r="H10" s="115"/>
      <c r="I10" s="115"/>
      <c r="J10" s="115"/>
      <c r="K10" s="115"/>
      <c r="N10" s="316" t="str">
        <f>'13.Facility 2 Grain Processing'!A161</f>
        <v>Electricity Charges</v>
      </c>
      <c r="O10" s="318">
        <f>('13.Facility 2 Grain Processing'!B161*'13.Facility 2 Grain Processing'!C161)/('13.Facility 2 Grain Processing'!B5*'13.Facility 2 Grain Processing'!B6)</f>
        <v>0</v>
      </c>
      <c r="P10" s="318">
        <f>O10</f>
        <v>0</v>
      </c>
      <c r="Q10" s="318">
        <f t="shared" ref="Q10" si="3">P10</f>
        <v>0</v>
      </c>
      <c r="R10" s="318">
        <f t="shared" ref="R10" si="4">Q10</f>
        <v>0</v>
      </c>
      <c r="S10" s="313"/>
      <c r="T10" s="313"/>
      <c r="U10" s="316" t="str">
        <f>'17.Facility 6 Horti Processing '!A166</f>
        <v>Electricity Charges</v>
      </c>
      <c r="V10" s="316">
        <f>'17.Facility 6 Horti Processing '!B166*'17.Facility 6 Horti Processing '!C166/('17.Facility 6 Horti Processing '!B5*'17.Facility 6 Horti Processing '!B6)</f>
        <v>0</v>
      </c>
    </row>
    <row r="11" spans="3:22" x14ac:dyDescent="0.35">
      <c r="C11" s="112" t="s">
        <v>1</v>
      </c>
      <c r="D11" s="112"/>
      <c r="E11" s="115"/>
      <c r="F11" s="115">
        <f t="shared" ref="F11:K11" si="5">SUM(F5:F10)</f>
        <v>1375765.4808265502</v>
      </c>
      <c r="G11" s="115">
        <f t="shared" si="5"/>
        <v>1589009.1303546652</v>
      </c>
      <c r="H11" s="115">
        <f t="shared" si="5"/>
        <v>1820137.731133526</v>
      </c>
      <c r="I11" s="115">
        <f t="shared" si="5"/>
        <v>2070406.6691643861</v>
      </c>
      <c r="J11" s="115">
        <f t="shared" si="5"/>
        <v>2341152.1566704982</v>
      </c>
      <c r="K11" s="115">
        <f t="shared" si="5"/>
        <v>2633796.1762543106</v>
      </c>
      <c r="N11" s="316" t="str">
        <f>'13.Facility 2 Grain Processing'!A162</f>
        <v>Loading/Unloading Charges</v>
      </c>
      <c r="O11" s="316">
        <f>'13.Facility 2 Grain Processing'!C162*2</f>
        <v>20</v>
      </c>
      <c r="P11" s="316">
        <f>O11</f>
        <v>20</v>
      </c>
      <c r="Q11" s="316">
        <f t="shared" ref="Q11:R12" si="6">P11</f>
        <v>20</v>
      </c>
      <c r="R11" s="316">
        <f t="shared" si="6"/>
        <v>20</v>
      </c>
      <c r="S11" s="313"/>
      <c r="T11" s="313"/>
      <c r="U11" s="316" t="str">
        <f>'17.Facility 6 Horti Processing '!A167</f>
        <v>Loading/Unloading Charges</v>
      </c>
      <c r="V11" s="316">
        <f>'17.Facility 6 Horti Processing '!C167</f>
        <v>0</v>
      </c>
    </row>
    <row r="12" spans="3:22" x14ac:dyDescent="0.35">
      <c r="C12" s="112"/>
      <c r="D12" s="112"/>
      <c r="E12" s="112"/>
      <c r="F12" s="115"/>
      <c r="G12" s="115"/>
      <c r="H12" s="115"/>
      <c r="I12" s="115"/>
      <c r="J12" s="115"/>
      <c r="K12" s="115"/>
      <c r="N12" s="316" t="str">
        <f>'13.Facility 2 Grain Processing'!A163</f>
        <v>packaging Exp</v>
      </c>
      <c r="O12" s="316">
        <f>'13.Facility 2 Grain Processing'!C163*2</f>
        <v>40</v>
      </c>
      <c r="P12" s="316">
        <f>O12</f>
        <v>40</v>
      </c>
      <c r="Q12" s="316">
        <f t="shared" si="6"/>
        <v>40</v>
      </c>
      <c r="R12" s="316">
        <f t="shared" si="6"/>
        <v>40</v>
      </c>
      <c r="S12" s="313"/>
      <c r="T12" s="313"/>
      <c r="U12" s="316" t="str">
        <f>'17.Facility 6 Horti Processing '!A168</f>
        <v>packaging Exp</v>
      </c>
      <c r="V12" s="112">
        <f>'17.Facility 6 Horti Processing '!C168*100</f>
        <v>0</v>
      </c>
    </row>
    <row r="13" spans="3:22" x14ac:dyDescent="0.35">
      <c r="C13" s="116" t="s">
        <v>342</v>
      </c>
      <c r="D13" s="112"/>
      <c r="E13" s="112"/>
      <c r="F13" s="115"/>
      <c r="G13" s="115"/>
      <c r="H13" s="115"/>
      <c r="I13" s="115"/>
      <c r="J13" s="115"/>
      <c r="K13" s="115"/>
      <c r="N13" s="316"/>
      <c r="O13" s="112"/>
      <c r="P13" s="112"/>
      <c r="Q13" s="112"/>
      <c r="R13" s="112"/>
      <c r="S13" s="313"/>
      <c r="T13" s="313"/>
      <c r="U13" s="112"/>
      <c r="V13" s="112"/>
    </row>
    <row r="14" spans="3:22" x14ac:dyDescent="0.35">
      <c r="C14" s="112" t="str">
        <f>C5</f>
        <v>Agri Input</v>
      </c>
      <c r="D14" s="175">
        <v>0</v>
      </c>
      <c r="E14" s="115">
        <f>SUM('16.Facility 5 Agri Input'!D197:D252)*$D$14</f>
        <v>0</v>
      </c>
      <c r="F14" s="115">
        <f>SUM('16.Facility 5 Agri Input'!E197:E252)*$D$14</f>
        <v>0</v>
      </c>
      <c r="G14" s="115">
        <f>SUM('16.Facility 5 Agri Input'!F197:F252)*$D$14</f>
        <v>0</v>
      </c>
      <c r="H14" s="115">
        <f>SUM('16.Facility 5 Agri Input'!G197:G252)*$D$14</f>
        <v>0</v>
      </c>
      <c r="I14" s="115">
        <f>SUM('16.Facility 5 Agri Input'!H197:H252)*$D$14</f>
        <v>0</v>
      </c>
      <c r="J14" s="115">
        <f>SUM('16.Facility 5 Agri Input'!I197:I252)*$D$14</f>
        <v>0</v>
      </c>
      <c r="K14" s="115">
        <f>SUM('16.Facility 5 Agri Input'!J197:J252)*$D$14</f>
        <v>0</v>
      </c>
      <c r="N14" s="112"/>
      <c r="O14" s="112"/>
      <c r="P14" s="112"/>
      <c r="Q14" s="112"/>
      <c r="R14" s="112"/>
      <c r="U14" s="112"/>
      <c r="V14" s="112"/>
    </row>
    <row r="15" spans="3:22" x14ac:dyDescent="0.35">
      <c r="C15" s="112" t="str">
        <f>C6</f>
        <v>Trading</v>
      </c>
      <c r="D15" s="175">
        <v>0.02</v>
      </c>
      <c r="E15" s="115">
        <f>SUM('12.Facility 1 - Trading'!D233:D284)*$D$15</f>
        <v>1375765.4808265502</v>
      </c>
      <c r="F15" s="115">
        <f>SUM('12.Facility 1 - Trading'!E233:E284)*$D$15</f>
        <v>1589009.1303546652</v>
      </c>
      <c r="G15" s="115">
        <f>SUM('12.Facility 1 - Trading'!F233:F284)*$D$15</f>
        <v>1820137.731133526</v>
      </c>
      <c r="H15" s="115">
        <f>SUM('12.Facility 1 - Trading'!G233:G284)*$D$15</f>
        <v>2070406.6691643861</v>
      </c>
      <c r="I15" s="115">
        <f>SUM('12.Facility 1 - Trading'!H233:H284)*$D$15</f>
        <v>2341152.1566704982</v>
      </c>
      <c r="J15" s="115">
        <f>SUM('12.Facility 1 - Trading'!I233:I284)*$D$15</f>
        <v>2633796.1762543106</v>
      </c>
      <c r="K15" s="115">
        <f>SUM('12.Facility 1 - Trading'!J233:J284)*$D$15</f>
        <v>2949851.7174048289</v>
      </c>
      <c r="N15" s="314" t="s">
        <v>363</v>
      </c>
      <c r="O15" s="319">
        <f>SUM(O7:O12)</f>
        <v>189.375</v>
      </c>
      <c r="P15" s="319">
        <f>SUM(P7:P12)</f>
        <v>189.375</v>
      </c>
      <c r="Q15" s="319">
        <f>SUM(Q7:Q12)</f>
        <v>204.375</v>
      </c>
      <c r="R15" s="319">
        <f>SUM(R7:R12)</f>
        <v>199.375</v>
      </c>
      <c r="U15" s="314" t="s">
        <v>1</v>
      </c>
      <c r="V15" s="319">
        <f>SUM(V7:V14)</f>
        <v>0</v>
      </c>
    </row>
    <row r="16" spans="3:22" x14ac:dyDescent="0.35">
      <c r="C16" s="112" t="str">
        <f>C7</f>
        <v>Grain Processing-Cleaning, Grading &amp; Sorting</v>
      </c>
      <c r="D16" s="175">
        <v>0</v>
      </c>
      <c r="E16" s="115">
        <f>SUM('13.Facility 2 Grain Processing'!D155:D163)*$D$16</f>
        <v>0</v>
      </c>
      <c r="F16" s="115">
        <f>SUM('13.Facility 2 Grain Processing'!E155:E163)*$D$16</f>
        <v>0</v>
      </c>
      <c r="G16" s="115">
        <f>SUM('13.Facility 2 Grain Processing'!F155:F163)*$D$16</f>
        <v>0</v>
      </c>
      <c r="H16" s="115">
        <f>SUM('13.Facility 2 Grain Processing'!G155:G163)*$D$16</f>
        <v>0</v>
      </c>
      <c r="I16" s="115">
        <f>SUM('13.Facility 2 Grain Processing'!H155:H163)*$D$16</f>
        <v>0</v>
      </c>
      <c r="J16" s="115">
        <f>SUM('13.Facility 2 Grain Processing'!I155:I163)*$D$16</f>
        <v>0</v>
      </c>
      <c r="K16" s="115">
        <f>SUM('13.Facility 2 Grain Processing'!J155:J163)*$D$16</f>
        <v>0</v>
      </c>
    </row>
    <row r="17" spans="1:18" x14ac:dyDescent="0.35">
      <c r="C17" s="112" t="s">
        <v>514</v>
      </c>
      <c r="D17" s="175">
        <v>0</v>
      </c>
      <c r="E17" s="115">
        <f>SUM('17.Facility 6 Horti Processing '!D163:D168)*$D$17</f>
        <v>0</v>
      </c>
      <c r="F17" s="115">
        <f>SUM('17.Facility 6 Horti Processing '!E163:E168)*$D$17</f>
        <v>0</v>
      </c>
      <c r="G17" s="115">
        <f>SUM('17.Facility 6 Horti Processing '!F163:F168)*$D$17</f>
        <v>0</v>
      </c>
      <c r="H17" s="115">
        <f>SUM('17.Facility 6 Horti Processing '!G163:G168)*$D$17</f>
        <v>0</v>
      </c>
      <c r="I17" s="115">
        <f>SUM('17.Facility 6 Horti Processing '!H163:H168)*$D$17</f>
        <v>0</v>
      </c>
      <c r="J17" s="115">
        <f>SUM('17.Facility 6 Horti Processing '!I163:I168)*$D$17</f>
        <v>0</v>
      </c>
      <c r="K17" s="115">
        <f>SUM('17.Facility 6 Horti Processing '!J163:J168)*$D$17</f>
        <v>0</v>
      </c>
    </row>
    <row r="18" spans="1:18" x14ac:dyDescent="0.35">
      <c r="C18" s="112"/>
      <c r="D18" s="214"/>
      <c r="E18" s="115"/>
      <c r="F18" s="115"/>
      <c r="G18" s="115"/>
      <c r="H18" s="115"/>
      <c r="I18" s="115"/>
      <c r="J18" s="115"/>
      <c r="K18" s="115"/>
    </row>
    <row r="19" spans="1:18" x14ac:dyDescent="0.35">
      <c r="C19" s="112"/>
      <c r="D19" s="112"/>
      <c r="E19" s="112"/>
      <c r="F19" s="115"/>
      <c r="G19" s="115"/>
      <c r="H19" s="115"/>
      <c r="I19" s="115"/>
      <c r="J19" s="115"/>
      <c r="K19" s="115"/>
    </row>
    <row r="20" spans="1:18" x14ac:dyDescent="0.35">
      <c r="C20" s="112" t="s">
        <v>1</v>
      </c>
      <c r="D20" s="112"/>
      <c r="E20" s="199">
        <f t="shared" ref="E20:K20" si="7">SUM(E14:E19)</f>
        <v>1375765.4808265502</v>
      </c>
      <c r="F20" s="115">
        <f t="shared" si="7"/>
        <v>1589009.1303546652</v>
      </c>
      <c r="G20" s="115">
        <f t="shared" si="7"/>
        <v>1820137.731133526</v>
      </c>
      <c r="H20" s="115">
        <f t="shared" si="7"/>
        <v>2070406.6691643861</v>
      </c>
      <c r="I20" s="115">
        <f t="shared" si="7"/>
        <v>2341152.1566704982</v>
      </c>
      <c r="J20" s="115">
        <f t="shared" si="7"/>
        <v>2633796.1762543106</v>
      </c>
      <c r="K20" s="115">
        <f t="shared" si="7"/>
        <v>2949851.7174048289</v>
      </c>
    </row>
    <row r="21" spans="1:18" ht="41.15" customHeight="1" x14ac:dyDescent="0.35">
      <c r="A21" s="429" t="s">
        <v>414</v>
      </c>
      <c r="B21" s="429"/>
      <c r="C21" s="429"/>
      <c r="D21" s="429"/>
      <c r="E21" s="429"/>
      <c r="F21" s="429"/>
      <c r="G21" s="429"/>
      <c r="H21" s="429"/>
      <c r="I21" s="429"/>
      <c r="J21" s="429"/>
      <c r="K21" s="429"/>
      <c r="L21" s="378"/>
      <c r="M21" s="378"/>
      <c r="N21" s="378"/>
      <c r="O21" s="320"/>
      <c r="P21" s="320"/>
      <c r="Q21" s="320"/>
      <c r="R21" s="320"/>
    </row>
    <row r="22" spans="1:18" x14ac:dyDescent="0.35">
      <c r="A22" s="107" t="s">
        <v>531</v>
      </c>
    </row>
    <row r="23" spans="1:18" x14ac:dyDescent="0.35">
      <c r="A23" s="107">
        <v>1</v>
      </c>
      <c r="B23" s="107" t="s">
        <v>534</v>
      </c>
    </row>
    <row r="24" spans="1:18" x14ac:dyDescent="0.35">
      <c r="B24" s="423" t="s">
        <v>548</v>
      </c>
      <c r="C24" s="423"/>
      <c r="D24" s="423"/>
      <c r="E24" s="423"/>
      <c r="F24" s="423"/>
      <c r="G24" s="423"/>
      <c r="H24" s="423"/>
      <c r="I24" s="423"/>
      <c r="J24" s="423"/>
      <c r="K24" s="423"/>
    </row>
    <row r="25" spans="1:18" x14ac:dyDescent="0.35">
      <c r="B25" s="438" t="s">
        <v>143</v>
      </c>
      <c r="C25" s="438" t="s">
        <v>0</v>
      </c>
      <c r="D25" s="441" t="s">
        <v>359</v>
      </c>
      <c r="E25" s="443" t="s">
        <v>154</v>
      </c>
      <c r="F25" s="444"/>
      <c r="G25" s="444"/>
      <c r="H25" s="444"/>
      <c r="I25" s="444"/>
      <c r="J25" s="444"/>
      <c r="K25" s="444"/>
    </row>
    <row r="26" spans="1:18" x14ac:dyDescent="0.35">
      <c r="B26" s="438"/>
      <c r="C26" s="438"/>
      <c r="D26" s="442"/>
      <c r="E26" s="13" t="s">
        <v>2</v>
      </c>
      <c r="F26" s="13" t="s">
        <v>3</v>
      </c>
      <c r="G26" s="13" t="s">
        <v>4</v>
      </c>
      <c r="H26" s="13" t="s">
        <v>5</v>
      </c>
      <c r="I26" s="13" t="s">
        <v>6</v>
      </c>
      <c r="J26" s="13" t="s">
        <v>165</v>
      </c>
      <c r="K26" s="13" t="s">
        <v>164</v>
      </c>
    </row>
    <row r="27" spans="1:18" x14ac:dyDescent="0.35">
      <c r="B27" s="321"/>
      <c r="C27" s="322"/>
      <c r="D27" s="322"/>
      <c r="E27" s="323"/>
      <c r="F27" s="323"/>
      <c r="G27" s="323"/>
      <c r="H27" s="323"/>
      <c r="I27" s="323"/>
      <c r="J27" s="323"/>
      <c r="K27" s="323"/>
    </row>
    <row r="28" spans="1:18" x14ac:dyDescent="0.35">
      <c r="B28" s="106" t="s">
        <v>169</v>
      </c>
      <c r="C28" s="324" t="s">
        <v>343</v>
      </c>
      <c r="D28" s="325"/>
      <c r="E28" s="326"/>
      <c r="F28" s="326"/>
      <c r="G28" s="326"/>
      <c r="H28" s="326"/>
      <c r="I28" s="326"/>
      <c r="J28" s="326"/>
      <c r="K28" s="326"/>
    </row>
    <row r="29" spans="1:18" x14ac:dyDescent="0.35">
      <c r="B29" s="100">
        <v>1</v>
      </c>
      <c r="C29" s="103" t="s">
        <v>361</v>
      </c>
      <c r="D29" s="325">
        <v>0</v>
      </c>
      <c r="E29" s="326">
        <f>('16.Facility 5 Agri Input'!D191/365)*$D$29</f>
        <v>0</v>
      </c>
      <c r="F29" s="326">
        <f>('16.Facility 5 Agri Input'!E191/365)*$D$29</f>
        <v>0</v>
      </c>
      <c r="G29" s="326">
        <f>('16.Facility 5 Agri Input'!F191/365)*$D$29</f>
        <v>0</v>
      </c>
      <c r="H29" s="326">
        <f>('16.Facility 5 Agri Input'!G191/365)*$D$29</f>
        <v>0</v>
      </c>
      <c r="I29" s="326">
        <f>('16.Facility 5 Agri Input'!H191/365)*$D$29</f>
        <v>0</v>
      </c>
      <c r="J29" s="326">
        <f>('16.Facility 5 Agri Input'!I191/365)*$D$29</f>
        <v>0</v>
      </c>
      <c r="K29" s="326">
        <f>('16.Facility 5 Agri Input'!J191/365)*$D$29</f>
        <v>0</v>
      </c>
    </row>
    <row r="30" spans="1:18" x14ac:dyDescent="0.35">
      <c r="B30" s="100">
        <v>2</v>
      </c>
      <c r="C30" s="103" t="s">
        <v>356</v>
      </c>
      <c r="D30" s="325">
        <v>0</v>
      </c>
      <c r="E30" s="326">
        <f>('15. Facility 4 Custom Hiring'!E39/365)*$D$30</f>
        <v>0</v>
      </c>
      <c r="F30" s="326">
        <f>('15. Facility 4 Custom Hiring'!F39/365)*$D$30</f>
        <v>0</v>
      </c>
      <c r="G30" s="326">
        <f>('15. Facility 4 Custom Hiring'!G39/365)*$D$30</f>
        <v>0</v>
      </c>
      <c r="H30" s="326">
        <f>('15. Facility 4 Custom Hiring'!H39/365)*$D$30</f>
        <v>0</v>
      </c>
      <c r="I30" s="326">
        <f>('15. Facility 4 Custom Hiring'!I39/365)*$D$30</f>
        <v>0</v>
      </c>
      <c r="J30" s="326">
        <f>('15. Facility 4 Custom Hiring'!J39/365)*$D$30</f>
        <v>0</v>
      </c>
      <c r="K30" s="326">
        <f>('15. Facility 4 Custom Hiring'!K39/365)*$D$30</f>
        <v>0</v>
      </c>
    </row>
    <row r="31" spans="1:18" x14ac:dyDescent="0.35">
      <c r="B31" s="100">
        <v>3</v>
      </c>
      <c r="C31" s="103" t="s">
        <v>681</v>
      </c>
      <c r="D31" s="325">
        <v>30</v>
      </c>
      <c r="E31" s="326">
        <f>('12.Facility 1 - Trading'!D229/365)*$D$31</f>
        <v>5975360.4222770547</v>
      </c>
      <c r="F31" s="326">
        <f>('12.Facility 1 - Trading'!E229/365)*$D$31</f>
        <v>7027986.6058913181</v>
      </c>
      <c r="G31" s="326">
        <f>('12.Facility 1 - Trading'!F229/365)*$D$31</f>
        <v>8051446.1811488671</v>
      </c>
      <c r="H31" s="326">
        <f>('12.Facility 1 - Trading'!G229/365)*$D$31</f>
        <v>9159681.7474174481</v>
      </c>
      <c r="I31" s="326">
        <f>('12.Facility 1 - Trading'!H229/365)*$D$31</f>
        <v>10358612.254860008</v>
      </c>
      <c r="J31" s="326">
        <f>('12.Facility 1 - Trading'!I229/365)*$D$31</f>
        <v>11654536.608678285</v>
      </c>
      <c r="K31" s="326">
        <f>('12.Facility 1 - Trading'!J229/365)*$D$31</f>
        <v>13054156.867241239</v>
      </c>
    </row>
    <row r="32" spans="1:18" x14ac:dyDescent="0.35">
      <c r="B32" s="100">
        <v>4</v>
      </c>
      <c r="C32" s="103" t="s">
        <v>682</v>
      </c>
      <c r="D32" s="325">
        <v>30</v>
      </c>
      <c r="E32" s="326">
        <f>('13.Facility 2 Grain Processing'!D151/365)*$D$32</f>
        <v>0</v>
      </c>
      <c r="F32" s="326">
        <f>('13.Facility 2 Grain Processing'!E151/365)*$D$32</f>
        <v>0</v>
      </c>
      <c r="G32" s="326">
        <f>('13.Facility 2 Grain Processing'!F151/365)*$D$32</f>
        <v>0</v>
      </c>
      <c r="H32" s="326">
        <f>('13.Facility 2 Grain Processing'!G151/365)*$D$32</f>
        <v>0</v>
      </c>
      <c r="I32" s="326">
        <f>('13.Facility 2 Grain Processing'!H151/365)*$D$32</f>
        <v>0</v>
      </c>
      <c r="J32" s="326">
        <f>('13.Facility 2 Grain Processing'!I151/365)*$D$32</f>
        <v>0</v>
      </c>
      <c r="K32" s="326">
        <f>('13.Facility 2 Grain Processing'!J151/365)*$D$32</f>
        <v>0</v>
      </c>
    </row>
    <row r="33" spans="2:11" x14ac:dyDescent="0.35">
      <c r="B33" s="100">
        <v>5</v>
      </c>
      <c r="C33" s="103" t="s">
        <v>298</v>
      </c>
      <c r="D33" s="325">
        <v>30</v>
      </c>
      <c r="E33" s="326">
        <f>('14. Facility 3 Warehouse'!D23/365)*$D$33</f>
        <v>55232.876712328769</v>
      </c>
      <c r="F33" s="326">
        <f>('14. Facility 3 Warehouse'!E23/365)*$D$33</f>
        <v>61619.178082191807</v>
      </c>
      <c r="G33" s="326">
        <f>('14. Facility 3 Warehouse'!F23/365)*$D$33</f>
        <v>68506.027397260288</v>
      </c>
      <c r="H33" s="326">
        <f>('14. Facility 3 Warehouse'!G23/365)*$D$33</f>
        <v>75927.513698630166</v>
      </c>
      <c r="I33" s="326">
        <f>('14. Facility 3 Warehouse'!H23/365)*$D$33</f>
        <v>83919.883561643874</v>
      </c>
      <c r="J33" s="326">
        <f>('14. Facility 3 Warehouse'!I23/365)*$D$33</f>
        <v>88115.877739726086</v>
      </c>
      <c r="K33" s="326">
        <f>('14. Facility 3 Warehouse'!J23/365)*$D$33</f>
        <v>92521.671626712385</v>
      </c>
    </row>
    <row r="34" spans="2:11" x14ac:dyDescent="0.35">
      <c r="B34" s="100">
        <v>6</v>
      </c>
      <c r="C34" s="103" t="s">
        <v>526</v>
      </c>
      <c r="D34" s="325">
        <v>0</v>
      </c>
      <c r="E34" s="326">
        <f>('17.Facility 6 Horti Processing '!D159/365)*$D$34</f>
        <v>0</v>
      </c>
      <c r="F34" s="326">
        <f>('17.Facility 6 Horti Processing '!E159/365)*$D$34</f>
        <v>0</v>
      </c>
      <c r="G34" s="326">
        <f>('17.Facility 6 Horti Processing '!F159/365)*$D$34</f>
        <v>0</v>
      </c>
      <c r="H34" s="326">
        <f>('17.Facility 6 Horti Processing '!G159/365)*$D$34</f>
        <v>0</v>
      </c>
      <c r="I34" s="326">
        <f>('17.Facility 6 Horti Processing '!H159/365)*$D$34</f>
        <v>0</v>
      </c>
      <c r="J34" s="326">
        <f>('17.Facility 6 Horti Processing '!I159/365)*$D$34</f>
        <v>0</v>
      </c>
      <c r="K34" s="326">
        <f>('17.Facility 6 Horti Processing '!J159/365)*$D$34</f>
        <v>0</v>
      </c>
    </row>
    <row r="35" spans="2:11" x14ac:dyDescent="0.35">
      <c r="B35" s="100"/>
      <c r="C35" s="103"/>
      <c r="D35" s="325"/>
      <c r="E35" s="326"/>
      <c r="F35" s="326"/>
      <c r="G35" s="326"/>
      <c r="H35" s="326"/>
      <c r="I35" s="326"/>
      <c r="J35" s="326"/>
      <c r="K35" s="326"/>
    </row>
    <row r="36" spans="2:11" x14ac:dyDescent="0.35">
      <c r="B36" s="106"/>
      <c r="C36" s="324" t="s">
        <v>167</v>
      </c>
      <c r="D36" s="325"/>
      <c r="E36" s="326">
        <f>SUM(E29:E35)</f>
        <v>6030593.2989893835</v>
      </c>
      <c r="F36" s="326">
        <f t="shared" ref="F36:K36" si="8">SUM(F29:F35)</f>
        <v>7089605.7839735094</v>
      </c>
      <c r="G36" s="326">
        <f t="shared" si="8"/>
        <v>8119952.2085461272</v>
      </c>
      <c r="H36" s="326">
        <f t="shared" si="8"/>
        <v>9235609.2611160781</v>
      </c>
      <c r="I36" s="326">
        <f t="shared" si="8"/>
        <v>10442532.138421653</v>
      </c>
      <c r="J36" s="326">
        <f t="shared" si="8"/>
        <v>11742652.486418011</v>
      </c>
      <c r="K36" s="326">
        <f t="shared" si="8"/>
        <v>13146678.538867952</v>
      </c>
    </row>
    <row r="37" spans="2:11" x14ac:dyDescent="0.35">
      <c r="B37" s="106" t="s">
        <v>170</v>
      </c>
      <c r="C37" s="324" t="s">
        <v>342</v>
      </c>
      <c r="D37" s="325"/>
      <c r="E37" s="326">
        <f>'5.Closing Stock &amp; W Capital'!E20</f>
        <v>1375765.4808265502</v>
      </c>
      <c r="F37" s="326">
        <f>'5.Closing Stock &amp; W Capital'!F20</f>
        <v>1589009.1303546652</v>
      </c>
      <c r="G37" s="326">
        <f>'5.Closing Stock &amp; W Capital'!G20</f>
        <v>1820137.731133526</v>
      </c>
      <c r="H37" s="326">
        <f>'5.Closing Stock &amp; W Capital'!H20</f>
        <v>2070406.6691643861</v>
      </c>
      <c r="I37" s="326">
        <f>'5.Closing Stock &amp; W Capital'!I20</f>
        <v>2341152.1566704982</v>
      </c>
      <c r="J37" s="326">
        <f>'5.Closing Stock &amp; W Capital'!J20</f>
        <v>2633796.1762543106</v>
      </c>
      <c r="K37" s="326">
        <f>'5.Closing Stock &amp; W Capital'!K20</f>
        <v>2949851.7174048289</v>
      </c>
    </row>
    <row r="38" spans="2:11" x14ac:dyDescent="0.35">
      <c r="B38" s="106"/>
      <c r="C38" s="103"/>
      <c r="D38" s="325"/>
      <c r="E38" s="326"/>
      <c r="F38" s="326"/>
      <c r="G38" s="326"/>
      <c r="H38" s="326"/>
      <c r="I38" s="326"/>
      <c r="J38" s="326"/>
      <c r="K38" s="326"/>
    </row>
    <row r="39" spans="2:11" x14ac:dyDescent="0.35">
      <c r="B39" s="439" t="s">
        <v>1</v>
      </c>
      <c r="C39" s="440"/>
      <c r="D39" s="327"/>
      <c r="E39" s="328">
        <f>SUM(E36:E37)</f>
        <v>7406358.7798159337</v>
      </c>
      <c r="F39" s="328">
        <f t="shared" ref="F39:K39" si="9">SUM(F36:F37)</f>
        <v>8678614.9143281747</v>
      </c>
      <c r="G39" s="328">
        <f t="shared" si="9"/>
        <v>9940089.9396796525</v>
      </c>
      <c r="H39" s="328">
        <f t="shared" si="9"/>
        <v>11306015.930280464</v>
      </c>
      <c r="I39" s="328">
        <f t="shared" si="9"/>
        <v>12783684.295092151</v>
      </c>
      <c r="J39" s="328">
        <f t="shared" si="9"/>
        <v>14376448.662672322</v>
      </c>
      <c r="K39" s="328">
        <f t="shared" si="9"/>
        <v>16096530.256272782</v>
      </c>
    </row>
    <row r="40" spans="2:11" x14ac:dyDescent="0.35">
      <c r="B40" s="106"/>
      <c r="C40" s="324"/>
      <c r="D40" s="325"/>
      <c r="E40" s="326"/>
      <c r="F40" s="326"/>
      <c r="G40" s="326"/>
      <c r="H40" s="326"/>
      <c r="I40" s="326"/>
      <c r="J40" s="326"/>
      <c r="K40" s="326"/>
    </row>
    <row r="41" spans="2:11" ht="34.5" customHeight="1" x14ac:dyDescent="0.35">
      <c r="B41" s="106" t="s">
        <v>171</v>
      </c>
      <c r="C41" s="103" t="s">
        <v>344</v>
      </c>
      <c r="D41" s="325"/>
      <c r="E41" s="326"/>
      <c r="F41" s="326"/>
      <c r="G41" s="326"/>
      <c r="H41" s="326"/>
      <c r="I41" s="326"/>
      <c r="J41" s="326"/>
      <c r="K41" s="326"/>
    </row>
    <row r="42" spans="2:11" x14ac:dyDescent="0.35">
      <c r="B42" s="100">
        <v>1</v>
      </c>
      <c r="C42" s="103" t="str">
        <f t="shared" ref="C42:C47" si="10">C29</f>
        <v>Agri Input</v>
      </c>
      <c r="D42" s="325">
        <v>0</v>
      </c>
      <c r="E42" s="326">
        <f>('16.Facility 5 Agri Input'!D262/365)*$D$42</f>
        <v>0</v>
      </c>
      <c r="F42" s="326">
        <f>('16.Facility 5 Agri Input'!E262/365)*$D$42</f>
        <v>0</v>
      </c>
      <c r="G42" s="326">
        <f>('16.Facility 5 Agri Input'!F262/365)*$D$42</f>
        <v>0</v>
      </c>
      <c r="H42" s="326">
        <f>('16.Facility 5 Agri Input'!G262/365)*$D$42</f>
        <v>0</v>
      </c>
      <c r="I42" s="326">
        <f>('16.Facility 5 Agri Input'!H262/365)*$D$42</f>
        <v>0</v>
      </c>
      <c r="J42" s="326">
        <f>('16.Facility 5 Agri Input'!I262/365)*$D$42</f>
        <v>0</v>
      </c>
      <c r="K42" s="326">
        <f>('16.Facility 5 Agri Input'!J262/365)*$D$42</f>
        <v>0</v>
      </c>
    </row>
    <row r="43" spans="2:11" x14ac:dyDescent="0.35">
      <c r="B43" s="100">
        <v>2</v>
      </c>
      <c r="C43" s="103" t="str">
        <f t="shared" si="10"/>
        <v>Custom Hiring</v>
      </c>
      <c r="D43" s="325">
        <v>0</v>
      </c>
      <c r="E43" s="326">
        <f>('15. Facility 4 Custom Hiring'!E49/365)*$D$44</f>
        <v>0</v>
      </c>
      <c r="F43" s="326">
        <f>('15. Facility 4 Custom Hiring'!F49/365)*$D$44</f>
        <v>0</v>
      </c>
      <c r="G43" s="326">
        <f>('15. Facility 4 Custom Hiring'!G49/365)*$D$44</f>
        <v>0</v>
      </c>
      <c r="H43" s="326">
        <f>('15. Facility 4 Custom Hiring'!H49/365)*$D$44</f>
        <v>0</v>
      </c>
      <c r="I43" s="326">
        <f>('15. Facility 4 Custom Hiring'!I49/365)*$D$44</f>
        <v>0</v>
      </c>
      <c r="J43" s="326">
        <f>('15. Facility 4 Custom Hiring'!J49/365)*$D$44</f>
        <v>0</v>
      </c>
      <c r="K43" s="326">
        <f>('15. Facility 4 Custom Hiring'!K49/365)*$D$44</f>
        <v>0</v>
      </c>
    </row>
    <row r="44" spans="2:11" x14ac:dyDescent="0.35">
      <c r="B44" s="100">
        <v>3</v>
      </c>
      <c r="C44" s="103" t="str">
        <f t="shared" si="10"/>
        <v>Trading Activity</v>
      </c>
      <c r="D44" s="325">
        <v>30</v>
      </c>
      <c r="E44" s="326">
        <f>('12.Facility 1 - Trading'!D292/365)*$D$44</f>
        <v>5571757.6457630917</v>
      </c>
      <c r="F44" s="326">
        <f>('12.Facility 1 - Trading'!E292/365)*$D$44</f>
        <v>6548456.6957188267</v>
      </c>
      <c r="G44" s="326">
        <f>('12.Facility 1 - Trading'!F292/365)*$D$44</f>
        <v>7502038.8555107098</v>
      </c>
      <c r="H44" s="326">
        <f>('12.Facility 1 - Trading'!G292/365)*$D$44</f>
        <v>8534608.0895424802</v>
      </c>
      <c r="I44" s="326">
        <f>('12.Facility 1 - Trading'!H292/365)*$D$44</f>
        <v>9651679.1498386543</v>
      </c>
      <c r="J44" s="326">
        <f>('12.Facility 1 - Trading'!I292/365)*$D$44</f>
        <v>10859120.795940587</v>
      </c>
      <c r="K44" s="326">
        <f>('12.Facility 1 - Trading'!J292/365)*$D$44</f>
        <v>12163177.408778118</v>
      </c>
    </row>
    <row r="45" spans="2:11" x14ac:dyDescent="0.35">
      <c r="B45" s="100">
        <v>4</v>
      </c>
      <c r="C45" s="103" t="str">
        <f t="shared" si="10"/>
        <v>Cleaning, Grading &amp; Sorting</v>
      </c>
      <c r="D45" s="325">
        <v>30</v>
      </c>
      <c r="E45" s="326">
        <f>('13.Facility 2 Grain Processing'!D172/365)*$D$45</f>
        <v>0</v>
      </c>
      <c r="F45" s="326">
        <f>('13.Facility 2 Grain Processing'!E172/365)*$D$45</f>
        <v>0</v>
      </c>
      <c r="G45" s="326">
        <f>('13.Facility 2 Grain Processing'!F172/365)*$D$45</f>
        <v>0</v>
      </c>
      <c r="H45" s="326">
        <f>('13.Facility 2 Grain Processing'!G172/365)*$D$45</f>
        <v>0</v>
      </c>
      <c r="I45" s="326">
        <f>('13.Facility 2 Grain Processing'!H172/365)*$D$45</f>
        <v>0</v>
      </c>
      <c r="J45" s="326">
        <f>('13.Facility 2 Grain Processing'!I172/365)*$D$45</f>
        <v>0</v>
      </c>
      <c r="K45" s="326">
        <f>('13.Facility 2 Grain Processing'!J172/365)*$D$45</f>
        <v>0</v>
      </c>
    </row>
    <row r="46" spans="2:11" x14ac:dyDescent="0.35">
      <c r="B46" s="100">
        <v>5</v>
      </c>
      <c r="C46" s="103" t="str">
        <f t="shared" si="10"/>
        <v>Warehouse</v>
      </c>
      <c r="D46" s="325">
        <v>30</v>
      </c>
      <c r="E46" s="326">
        <f>('14. Facility 3 Warehouse'!D34/365)*$D$46</f>
        <v>17227.397260273974</v>
      </c>
      <c r="F46" s="326">
        <f>('14. Facility 3 Warehouse'!E34/365)*$D$46</f>
        <v>18088.767123287671</v>
      </c>
      <c r="G46" s="326">
        <f>('14. Facility 3 Warehouse'!F34/365)*$D$46</f>
        <v>18993.205479452055</v>
      </c>
      <c r="H46" s="326">
        <f>('14. Facility 3 Warehouse'!G34/365)*$D$46</f>
        <v>19942.865753424659</v>
      </c>
      <c r="I46" s="326">
        <f>('14. Facility 3 Warehouse'!H34/365)*$D$46</f>
        <v>20940.009041095895</v>
      </c>
      <c r="J46" s="326">
        <f>('14. Facility 3 Warehouse'!I34/365)*$D$46</f>
        <v>21987.009493150694</v>
      </c>
      <c r="K46" s="326">
        <f>('14. Facility 3 Warehouse'!J34/365)*$D$46</f>
        <v>23086.359967808228</v>
      </c>
    </row>
    <row r="47" spans="2:11" x14ac:dyDescent="0.35">
      <c r="B47" s="100"/>
      <c r="C47" s="103" t="str">
        <f t="shared" si="10"/>
        <v>Processing Unit - Horti Commodity</v>
      </c>
      <c r="D47" s="325">
        <v>0</v>
      </c>
      <c r="E47" s="326">
        <f>('17.Facility 6 Horti Processing '!D177/365)*$D$47</f>
        <v>0</v>
      </c>
      <c r="F47" s="326">
        <f>('17.Facility 6 Horti Processing '!E177/365)*$D$47</f>
        <v>0</v>
      </c>
      <c r="G47" s="326">
        <f>('17.Facility 6 Horti Processing '!F177/365)*$D$47</f>
        <v>0</v>
      </c>
      <c r="H47" s="326">
        <f>('17.Facility 6 Horti Processing '!G177/365)*$D$47</f>
        <v>0</v>
      </c>
      <c r="I47" s="326">
        <f>('17.Facility 6 Horti Processing '!H177/365)*$D$47</f>
        <v>0</v>
      </c>
      <c r="J47" s="326">
        <f>('17.Facility 6 Horti Processing '!I177/365)*$D$47</f>
        <v>0</v>
      </c>
      <c r="K47" s="326">
        <f>('17.Facility 6 Horti Processing '!J177/365)*$D$47</f>
        <v>0</v>
      </c>
    </row>
    <row r="48" spans="2:11" x14ac:dyDescent="0.35">
      <c r="B48" s="100"/>
      <c r="C48" s="103"/>
      <c r="D48" s="325"/>
      <c r="E48" s="326"/>
      <c r="F48" s="326"/>
      <c r="G48" s="326"/>
      <c r="H48" s="326"/>
      <c r="I48" s="326"/>
      <c r="J48" s="326"/>
      <c r="K48" s="326"/>
    </row>
    <row r="49" spans="1:12" x14ac:dyDescent="0.35">
      <c r="B49" s="329"/>
      <c r="C49" s="324" t="s">
        <v>1</v>
      </c>
      <c r="D49" s="325"/>
      <c r="E49" s="328">
        <f>SUM(E42:E48)</f>
        <v>5588985.0430233655</v>
      </c>
      <c r="F49" s="328">
        <f t="shared" ref="F49:K49" si="11">SUM(F42:F48)</f>
        <v>6566545.4628421143</v>
      </c>
      <c r="G49" s="328">
        <f t="shared" si="11"/>
        <v>7521032.0609901622</v>
      </c>
      <c r="H49" s="328">
        <f t="shared" si="11"/>
        <v>8554550.9552959055</v>
      </c>
      <c r="I49" s="328">
        <f t="shared" si="11"/>
        <v>9672619.1588797495</v>
      </c>
      <c r="J49" s="328">
        <f t="shared" si="11"/>
        <v>10881107.805433737</v>
      </c>
      <c r="K49" s="328">
        <f t="shared" si="11"/>
        <v>12186263.768745925</v>
      </c>
    </row>
    <row r="50" spans="1:12" x14ac:dyDescent="0.35">
      <c r="B50" s="106" t="s">
        <v>172</v>
      </c>
      <c r="C50" s="324" t="s">
        <v>152</v>
      </c>
      <c r="D50" s="325"/>
      <c r="E50" s="328">
        <f>E39-E49</f>
        <v>1817373.7367925681</v>
      </c>
      <c r="F50" s="328">
        <f t="shared" ref="F50:K50" si="12">F39-F49</f>
        <v>2112069.4514860604</v>
      </c>
      <c r="G50" s="328">
        <f t="shared" si="12"/>
        <v>2419057.8786894903</v>
      </c>
      <c r="H50" s="328">
        <f t="shared" si="12"/>
        <v>2751464.9749845583</v>
      </c>
      <c r="I50" s="328">
        <f t="shared" si="12"/>
        <v>3111065.1362124011</v>
      </c>
      <c r="J50" s="328">
        <f t="shared" si="12"/>
        <v>3495340.8572385851</v>
      </c>
      <c r="K50" s="328">
        <f t="shared" si="12"/>
        <v>3910266.4875268564</v>
      </c>
    </row>
    <row r="51" spans="1:12" x14ac:dyDescent="0.35">
      <c r="B51" s="106"/>
      <c r="C51" s="324" t="s">
        <v>133</v>
      </c>
      <c r="D51" s="330">
        <v>0.25</v>
      </c>
      <c r="E51" s="328">
        <f>E50*$D$51</f>
        <v>454343.43419814203</v>
      </c>
      <c r="F51" s="328"/>
      <c r="G51" s="328"/>
      <c r="H51" s="328"/>
      <c r="I51" s="328"/>
      <c r="J51" s="328"/>
      <c r="K51" s="328"/>
    </row>
    <row r="53" spans="1:12" x14ac:dyDescent="0.35">
      <c r="E53" s="201"/>
    </row>
    <row r="54" spans="1:12" ht="37" customHeight="1" x14ac:dyDescent="0.35">
      <c r="A54" s="424" t="s">
        <v>409</v>
      </c>
      <c r="B54" s="437"/>
      <c r="C54" s="437"/>
      <c r="D54" s="437"/>
      <c r="E54" s="437"/>
      <c r="F54" s="437"/>
      <c r="G54" s="437"/>
      <c r="H54" s="437"/>
      <c r="I54" s="437"/>
      <c r="J54" s="437"/>
      <c r="K54" s="437"/>
      <c r="L54" s="437"/>
    </row>
    <row r="55" spans="1:12" x14ac:dyDescent="0.35">
      <c r="A55" s="107" t="s">
        <v>535</v>
      </c>
    </row>
    <row r="56" spans="1:12" x14ac:dyDescent="0.35">
      <c r="A56" s="107">
        <v>1</v>
      </c>
      <c r="B56" s="107" t="s">
        <v>684</v>
      </c>
    </row>
    <row r="57" spans="1:12" x14ac:dyDescent="0.35">
      <c r="A57" s="107">
        <v>2</v>
      </c>
      <c r="B57" s="107" t="s">
        <v>685</v>
      </c>
    </row>
    <row r="58" spans="1:12" x14ac:dyDescent="0.35">
      <c r="A58" s="107">
        <v>3</v>
      </c>
      <c r="B58" s="107" t="s">
        <v>536</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J54"/>
  <sheetViews>
    <sheetView view="pageBreakPreview" topLeftCell="A39" zoomScale="80" zoomScaleSheetLayoutView="80" workbookViewId="0">
      <selection activeCell="A3" sqref="A3:H49"/>
    </sheetView>
  </sheetViews>
  <sheetFormatPr defaultColWidth="8.7265625" defaultRowHeight="14.5" x14ac:dyDescent="0.35"/>
  <cols>
    <col min="1" max="1" width="40.54296875" style="107" bestFit="1" customWidth="1"/>
    <col min="2" max="2" width="17.7265625" style="107" customWidth="1"/>
    <col min="3" max="3" width="16.54296875" style="107" customWidth="1"/>
    <col min="4" max="4" width="16.81640625" style="107" customWidth="1"/>
    <col min="5" max="5" width="17" style="107" customWidth="1"/>
    <col min="6" max="6" width="17.54296875" style="107" customWidth="1"/>
    <col min="7" max="7" width="17.81640625" style="107" customWidth="1"/>
    <col min="8" max="8" width="16.81640625" style="107" customWidth="1"/>
    <col min="9" max="9" width="8.54296875" style="107" customWidth="1"/>
    <col min="10" max="10" width="10.1796875" style="107" bestFit="1" customWidth="1"/>
    <col min="11" max="11" width="9.54296875" style="107" bestFit="1" customWidth="1"/>
    <col min="12" max="16384" width="8.7265625" style="107"/>
  </cols>
  <sheetData>
    <row r="2" spans="1:8" x14ac:dyDescent="0.35">
      <c r="A2" s="421" t="s">
        <v>698</v>
      </c>
      <c r="B2" s="421"/>
      <c r="C2" s="421"/>
      <c r="D2" s="421"/>
      <c r="E2" s="421"/>
      <c r="F2" s="421"/>
      <c r="G2" s="421"/>
      <c r="H2" s="421"/>
    </row>
    <row r="3" spans="1:8" x14ac:dyDescent="0.35">
      <c r="A3" s="110" t="s">
        <v>0</v>
      </c>
      <c r="B3" s="111" t="s">
        <v>2</v>
      </c>
      <c r="C3" s="111" t="s">
        <v>3</v>
      </c>
      <c r="D3" s="111" t="s">
        <v>4</v>
      </c>
      <c r="E3" s="111" t="s">
        <v>5</v>
      </c>
      <c r="F3" s="111" t="s">
        <v>6</v>
      </c>
      <c r="G3" s="111" t="s">
        <v>165</v>
      </c>
      <c r="H3" s="111" t="s">
        <v>164</v>
      </c>
    </row>
    <row r="4" spans="1:8" x14ac:dyDescent="0.35">
      <c r="A4" s="116" t="s">
        <v>126</v>
      </c>
      <c r="B4" s="112"/>
      <c r="C4" s="112"/>
      <c r="D4" s="112"/>
      <c r="E4" s="112"/>
      <c r="F4" s="112"/>
      <c r="G4" s="112"/>
      <c r="H4" s="112"/>
    </row>
    <row r="5" spans="1:8" x14ac:dyDescent="0.35">
      <c r="A5" s="112"/>
      <c r="B5" s="112"/>
      <c r="C5" s="112"/>
      <c r="D5" s="112"/>
      <c r="E5" s="112"/>
      <c r="F5" s="112"/>
      <c r="G5" s="112"/>
      <c r="H5" s="112"/>
    </row>
    <row r="6" spans="1:8" x14ac:dyDescent="0.35">
      <c r="A6" s="112" t="s">
        <v>686</v>
      </c>
      <c r="B6" s="115">
        <f>'12.Facility 1 - Trading'!D229</f>
        <v>72700218.471037492</v>
      </c>
      <c r="C6" s="115">
        <f>'12.Facility 1 - Trading'!E229</f>
        <v>85507170.371677712</v>
      </c>
      <c r="D6" s="115">
        <f>'12.Facility 1 - Trading'!F229</f>
        <v>97959261.870644554</v>
      </c>
      <c r="E6" s="115">
        <f>'12.Facility 1 - Trading'!G229</f>
        <v>111442794.59357895</v>
      </c>
      <c r="F6" s="115">
        <f>'12.Facility 1 - Trading'!H229</f>
        <v>126029782.43413009</v>
      </c>
      <c r="G6" s="115">
        <f>'12.Facility 1 - Trading'!I229</f>
        <v>141796862.07225248</v>
      </c>
      <c r="H6" s="115">
        <f>'12.Facility 1 - Trading'!J229</f>
        <v>158825575.21810174</v>
      </c>
    </row>
    <row r="7" spans="1:8" hidden="1" x14ac:dyDescent="0.35">
      <c r="A7" s="112" t="s">
        <v>687</v>
      </c>
      <c r="B7" s="115">
        <f>'13.Facility 2 Grain Processing'!D151</f>
        <v>0</v>
      </c>
      <c r="C7" s="115">
        <f>'13.Facility 2 Grain Processing'!E151</f>
        <v>0</v>
      </c>
      <c r="D7" s="115">
        <f>'13.Facility 2 Grain Processing'!F151</f>
        <v>0</v>
      </c>
      <c r="E7" s="115">
        <f>'13.Facility 2 Grain Processing'!G151</f>
        <v>0</v>
      </c>
      <c r="F7" s="115">
        <f>'13.Facility 2 Grain Processing'!H151</f>
        <v>0</v>
      </c>
      <c r="G7" s="115">
        <f>'13.Facility 2 Grain Processing'!I151</f>
        <v>0</v>
      </c>
      <c r="H7" s="115">
        <f>'13.Facility 2 Grain Processing'!J151</f>
        <v>0</v>
      </c>
    </row>
    <row r="8" spans="1:8" x14ac:dyDescent="0.35">
      <c r="A8" s="112" t="s">
        <v>503</v>
      </c>
      <c r="B8" s="115">
        <f>'14. Facility 3 Warehouse'!D23</f>
        <v>672000</v>
      </c>
      <c r="C8" s="115">
        <f>'14. Facility 3 Warehouse'!E23</f>
        <v>749700.00000000023</v>
      </c>
      <c r="D8" s="115">
        <f>'14. Facility 3 Warehouse'!F23</f>
        <v>833490.00000000023</v>
      </c>
      <c r="E8" s="115">
        <f>'14. Facility 3 Warehouse'!G23</f>
        <v>923784.75000000035</v>
      </c>
      <c r="F8" s="115">
        <f>'14. Facility 3 Warehouse'!H23</f>
        <v>1021025.2500000005</v>
      </c>
      <c r="G8" s="115">
        <f>'14. Facility 3 Warehouse'!I23</f>
        <v>1072076.5125000007</v>
      </c>
      <c r="H8" s="115">
        <f>'14. Facility 3 Warehouse'!J23</f>
        <v>1125680.3381250007</v>
      </c>
    </row>
    <row r="9" spans="1:8" hidden="1" x14ac:dyDescent="0.35">
      <c r="A9" s="112" t="s">
        <v>504</v>
      </c>
      <c r="B9" s="115">
        <f>'15. Facility 4 Custom Hiring'!E39</f>
        <v>0</v>
      </c>
      <c r="C9" s="115">
        <f>'15. Facility 4 Custom Hiring'!F39</f>
        <v>0</v>
      </c>
      <c r="D9" s="115">
        <f>'15. Facility 4 Custom Hiring'!G39</f>
        <v>0</v>
      </c>
      <c r="E9" s="115">
        <f>'15. Facility 4 Custom Hiring'!H39</f>
        <v>0</v>
      </c>
      <c r="F9" s="115">
        <f>'15. Facility 4 Custom Hiring'!I39</f>
        <v>0</v>
      </c>
      <c r="G9" s="115">
        <f>'15. Facility 4 Custom Hiring'!J39</f>
        <v>0</v>
      </c>
      <c r="H9" s="115">
        <f>'15. Facility 4 Custom Hiring'!K39</f>
        <v>0</v>
      </c>
    </row>
    <row r="10" spans="1:8" hidden="1" x14ac:dyDescent="0.35">
      <c r="A10" s="112" t="s">
        <v>502</v>
      </c>
      <c r="B10" s="115">
        <f>'16.Facility 5 Agri Input'!D191</f>
        <v>0</v>
      </c>
      <c r="C10" s="115">
        <f>'16.Facility 5 Agri Input'!E191</f>
        <v>0</v>
      </c>
      <c r="D10" s="115">
        <f>'16.Facility 5 Agri Input'!F191</f>
        <v>0</v>
      </c>
      <c r="E10" s="115">
        <f>'16.Facility 5 Agri Input'!G191</f>
        <v>0</v>
      </c>
      <c r="F10" s="115">
        <f>'16.Facility 5 Agri Input'!H191</f>
        <v>0</v>
      </c>
      <c r="G10" s="115">
        <f>'16.Facility 5 Agri Input'!I191</f>
        <v>0</v>
      </c>
      <c r="H10" s="115">
        <f>'16.Facility 5 Agri Input'!J191</f>
        <v>0</v>
      </c>
    </row>
    <row r="11" spans="1:8" hidden="1" x14ac:dyDescent="0.35">
      <c r="A11" s="112" t="s">
        <v>525</v>
      </c>
      <c r="B11" s="115">
        <f>'17.Facility 6 Horti Processing '!D159</f>
        <v>0</v>
      </c>
      <c r="C11" s="115">
        <f>'17.Facility 6 Horti Processing '!E159</f>
        <v>0</v>
      </c>
      <c r="D11" s="115">
        <f>'17.Facility 6 Horti Processing '!F159</f>
        <v>0</v>
      </c>
      <c r="E11" s="115">
        <f>'17.Facility 6 Horti Processing '!G159</f>
        <v>0</v>
      </c>
      <c r="F11" s="115">
        <f>'17.Facility 6 Horti Processing '!H159</f>
        <v>0</v>
      </c>
      <c r="G11" s="115">
        <f>'17.Facility 6 Horti Processing '!I159</f>
        <v>0</v>
      </c>
      <c r="H11" s="115">
        <f>'17.Facility 6 Horti Processing '!J159</f>
        <v>0</v>
      </c>
    </row>
    <row r="12" spans="1:8" x14ac:dyDescent="0.35">
      <c r="A12" s="112"/>
      <c r="B12" s="115"/>
      <c r="C12" s="115"/>
      <c r="D12" s="115"/>
      <c r="E12" s="115"/>
      <c r="F12" s="115"/>
      <c r="G12" s="115"/>
      <c r="H12" s="115"/>
    </row>
    <row r="13" spans="1:8" x14ac:dyDescent="0.35">
      <c r="A13" s="116" t="s">
        <v>141</v>
      </c>
      <c r="B13" s="117">
        <f>SUM(B6:B12)</f>
        <v>73372218.471037492</v>
      </c>
      <c r="C13" s="117">
        <f t="shared" ref="C13:H13" si="0">SUM(C6:C12)</f>
        <v>86256870.371677712</v>
      </c>
      <c r="D13" s="117">
        <f t="shared" si="0"/>
        <v>98792751.870644554</v>
      </c>
      <c r="E13" s="117">
        <f t="shared" si="0"/>
        <v>112366579.34357895</v>
      </c>
      <c r="F13" s="117">
        <f t="shared" si="0"/>
        <v>127050807.68413009</v>
      </c>
      <c r="G13" s="117">
        <f t="shared" si="0"/>
        <v>142868938.58475247</v>
      </c>
      <c r="H13" s="117">
        <f t="shared" si="0"/>
        <v>159951255.55622673</v>
      </c>
    </row>
    <row r="14" spans="1:8" x14ac:dyDescent="0.35">
      <c r="A14" s="112"/>
      <c r="B14" s="115"/>
      <c r="C14" s="115"/>
      <c r="D14" s="115"/>
      <c r="E14" s="115"/>
      <c r="F14" s="115"/>
      <c r="G14" s="115"/>
      <c r="H14" s="115"/>
    </row>
    <row r="15" spans="1:8" x14ac:dyDescent="0.35">
      <c r="A15" s="116" t="s">
        <v>310</v>
      </c>
      <c r="B15" s="115"/>
      <c r="C15" s="115"/>
      <c r="D15" s="115"/>
      <c r="E15" s="115"/>
      <c r="F15" s="115"/>
      <c r="G15" s="115"/>
      <c r="H15" s="115"/>
    </row>
    <row r="16" spans="1:8" x14ac:dyDescent="0.35">
      <c r="A16" s="112" t="str">
        <f t="shared" ref="A16:A21" si="1">A6</f>
        <v>Faclitiy 1 - Trading Activity</v>
      </c>
      <c r="B16" s="115">
        <f>'12.Facility 1 - Trading'!D292</f>
        <v>67789718.023450956</v>
      </c>
      <c r="C16" s="115">
        <f>'12.Facility 1 - Trading'!E292</f>
        <v>79672889.797912389</v>
      </c>
      <c r="D16" s="115">
        <f>'12.Facility 1 - Trading'!F292</f>
        <v>91274806.075380296</v>
      </c>
      <c r="E16" s="115">
        <f>'12.Facility 1 - Trading'!G292</f>
        <v>103837731.75610018</v>
      </c>
      <c r="F16" s="115">
        <f>'12.Facility 1 - Trading'!H292</f>
        <v>117428762.98970363</v>
      </c>
      <c r="G16" s="115">
        <f>'12.Facility 1 - Trading'!I292</f>
        <v>132119303.01727714</v>
      </c>
      <c r="H16" s="115">
        <f>'12.Facility 1 - Trading'!J292</f>
        <v>147985325.14013377</v>
      </c>
    </row>
    <row r="17" spans="1:8" hidden="1" x14ac:dyDescent="0.35">
      <c r="A17" s="112" t="str">
        <f t="shared" si="1"/>
        <v>Faclitiy 2 - Processing Unit- Cleaning, Grading</v>
      </c>
      <c r="B17" s="115">
        <f>'13.Facility 2 Grain Processing'!D172</f>
        <v>0</v>
      </c>
      <c r="C17" s="115">
        <f>'13.Facility 2 Grain Processing'!E172</f>
        <v>0</v>
      </c>
      <c r="D17" s="115">
        <f>'13.Facility 2 Grain Processing'!F172</f>
        <v>0</v>
      </c>
      <c r="E17" s="115">
        <f>'13.Facility 2 Grain Processing'!G172</f>
        <v>0</v>
      </c>
      <c r="F17" s="115">
        <f>'13.Facility 2 Grain Processing'!H172</f>
        <v>0</v>
      </c>
      <c r="G17" s="115">
        <f>'13.Facility 2 Grain Processing'!I172</f>
        <v>0</v>
      </c>
      <c r="H17" s="115">
        <f>'13.Facility 2 Grain Processing'!J172</f>
        <v>0</v>
      </c>
    </row>
    <row r="18" spans="1:8" x14ac:dyDescent="0.35">
      <c r="A18" s="112" t="str">
        <f t="shared" si="1"/>
        <v>Faclitiy 3 - Warehouse</v>
      </c>
      <c r="B18" s="115">
        <f>'14. Facility 3 Warehouse'!D34</f>
        <v>209600</v>
      </c>
      <c r="C18" s="115">
        <f>'14. Facility 3 Warehouse'!E34</f>
        <v>220080</v>
      </c>
      <c r="D18" s="115">
        <f>'14. Facility 3 Warehouse'!F34</f>
        <v>231084</v>
      </c>
      <c r="E18" s="115">
        <f>'14. Facility 3 Warehouse'!G34</f>
        <v>242638.20000000004</v>
      </c>
      <c r="F18" s="115">
        <f>'14. Facility 3 Warehouse'!H34</f>
        <v>254770.11000000004</v>
      </c>
      <c r="G18" s="115">
        <f>'14. Facility 3 Warehouse'!I34</f>
        <v>267508.61550000007</v>
      </c>
      <c r="H18" s="115">
        <f>'14. Facility 3 Warehouse'!J34</f>
        <v>280884.04627500009</v>
      </c>
    </row>
    <row r="19" spans="1:8" hidden="1" x14ac:dyDescent="0.35">
      <c r="A19" s="112" t="str">
        <f t="shared" si="1"/>
        <v xml:space="preserve">Faclitiy 4 - Custom Hiring </v>
      </c>
      <c r="B19" s="115">
        <f>'15. Facility 4 Custom Hiring'!E49</f>
        <v>0</v>
      </c>
      <c r="C19" s="115">
        <f>'15. Facility 4 Custom Hiring'!F49</f>
        <v>0</v>
      </c>
      <c r="D19" s="115">
        <f>'15. Facility 4 Custom Hiring'!G49</f>
        <v>0</v>
      </c>
      <c r="E19" s="115">
        <f>'15. Facility 4 Custom Hiring'!H49</f>
        <v>0</v>
      </c>
      <c r="F19" s="115">
        <f>'15. Facility 4 Custom Hiring'!I49</f>
        <v>0</v>
      </c>
      <c r="G19" s="115">
        <f>'15. Facility 4 Custom Hiring'!J49</f>
        <v>0</v>
      </c>
      <c r="H19" s="115">
        <f>'15. Facility 4 Custom Hiring'!K49</f>
        <v>0</v>
      </c>
    </row>
    <row r="20" spans="1:8" hidden="1" x14ac:dyDescent="0.35">
      <c r="A20" s="112" t="str">
        <f t="shared" si="1"/>
        <v>Faclitiy 5 - Agri Input Centre</v>
      </c>
      <c r="B20" s="115">
        <f>'16.Facility 5 Agri Input'!D262</f>
        <v>0</v>
      </c>
      <c r="C20" s="115">
        <f>'16.Facility 5 Agri Input'!E262</f>
        <v>0</v>
      </c>
      <c r="D20" s="115">
        <f>'16.Facility 5 Agri Input'!F262</f>
        <v>0</v>
      </c>
      <c r="E20" s="115">
        <f>'16.Facility 5 Agri Input'!G262</f>
        <v>0</v>
      </c>
      <c r="F20" s="115">
        <f>'16.Facility 5 Agri Input'!H262</f>
        <v>0</v>
      </c>
      <c r="G20" s="115">
        <f>'16.Facility 5 Agri Input'!I262</f>
        <v>0</v>
      </c>
      <c r="H20" s="115">
        <f>'16.Facility 5 Agri Input'!J262</f>
        <v>0</v>
      </c>
    </row>
    <row r="21" spans="1:8" hidden="1" x14ac:dyDescent="0.35">
      <c r="A21" s="112" t="str">
        <f t="shared" si="1"/>
        <v>Facility 6 - Processing Unit - Horti Commodity</v>
      </c>
      <c r="B21" s="115">
        <f>'17.Facility 6 Horti Processing '!D177</f>
        <v>0</v>
      </c>
      <c r="C21" s="115">
        <f>'17.Facility 6 Horti Processing '!E177</f>
        <v>0</v>
      </c>
      <c r="D21" s="115">
        <f>'17.Facility 6 Horti Processing '!F177</f>
        <v>0</v>
      </c>
      <c r="E21" s="115">
        <f>'17.Facility 6 Horti Processing '!G177</f>
        <v>0</v>
      </c>
      <c r="F21" s="115">
        <f>'17.Facility 6 Horti Processing '!H177</f>
        <v>0</v>
      </c>
      <c r="G21" s="115">
        <f>'17.Facility 6 Horti Processing '!I177</f>
        <v>0</v>
      </c>
      <c r="H21" s="115">
        <f>'17.Facility 6 Horti Processing '!J177</f>
        <v>0</v>
      </c>
    </row>
    <row r="22" spans="1:8" x14ac:dyDescent="0.35">
      <c r="A22" s="112"/>
      <c r="B22" s="115"/>
      <c r="C22" s="115"/>
      <c r="D22" s="115"/>
      <c r="E22" s="115"/>
      <c r="F22" s="115"/>
      <c r="G22" s="115"/>
      <c r="H22" s="115"/>
    </row>
    <row r="23" spans="1:8" x14ac:dyDescent="0.35">
      <c r="A23" s="116" t="s">
        <v>317</v>
      </c>
      <c r="B23" s="117">
        <f>SUM(B16:B22)</f>
        <v>67999318.023450956</v>
      </c>
      <c r="C23" s="117">
        <f t="shared" ref="C23:H23" si="2">SUM(C16:C22)</f>
        <v>79892969.797912389</v>
      </c>
      <c r="D23" s="117">
        <f t="shared" si="2"/>
        <v>91505890.075380296</v>
      </c>
      <c r="E23" s="117">
        <f t="shared" si="2"/>
        <v>104080369.95610018</v>
      </c>
      <c r="F23" s="117">
        <f t="shared" si="2"/>
        <v>117683533.09970362</v>
      </c>
      <c r="G23" s="117">
        <f t="shared" si="2"/>
        <v>132386811.63277714</v>
      </c>
      <c r="H23" s="117">
        <f t="shared" si="2"/>
        <v>148266209.18640876</v>
      </c>
    </row>
    <row r="24" spans="1:8" x14ac:dyDescent="0.35">
      <c r="A24" s="112"/>
      <c r="B24" s="115"/>
      <c r="C24" s="115"/>
      <c r="D24" s="115"/>
      <c r="E24" s="115"/>
      <c r="F24" s="115"/>
      <c r="G24" s="115"/>
      <c r="H24" s="115"/>
    </row>
    <row r="25" spans="1:8" x14ac:dyDescent="0.35">
      <c r="A25" s="116" t="s">
        <v>308</v>
      </c>
      <c r="B25" s="115"/>
      <c r="C25" s="115"/>
      <c r="D25" s="115"/>
      <c r="E25" s="115"/>
      <c r="F25" s="115"/>
      <c r="G25" s="115"/>
      <c r="H25" s="115"/>
    </row>
    <row r="26" spans="1:8" x14ac:dyDescent="0.35">
      <c r="A26" s="112" t="str">
        <f t="shared" ref="A26:A31" si="3">A16</f>
        <v>Faclitiy 1 - Trading Activity</v>
      </c>
      <c r="B26" s="115">
        <f>'12.Facility 1 - Trading'!D301</f>
        <v>900000</v>
      </c>
      <c r="C26" s="115">
        <f>'12.Facility 1 - Trading'!E301</f>
        <v>945000</v>
      </c>
      <c r="D26" s="115">
        <f>'12.Facility 1 - Trading'!F301</f>
        <v>992250</v>
      </c>
      <c r="E26" s="115">
        <f>'12.Facility 1 - Trading'!G301</f>
        <v>1041862.5000000001</v>
      </c>
      <c r="F26" s="115">
        <f>'12.Facility 1 - Trading'!H301</f>
        <v>1093955.6250000002</v>
      </c>
      <c r="G26" s="115">
        <f>'12.Facility 1 - Trading'!I301</f>
        <v>1148653.4062500002</v>
      </c>
      <c r="H26" s="115">
        <f>'12.Facility 1 - Trading'!J301</f>
        <v>1206086.0765625003</v>
      </c>
    </row>
    <row r="27" spans="1:8" hidden="1" x14ac:dyDescent="0.35">
      <c r="A27" s="112" t="str">
        <f t="shared" si="3"/>
        <v>Faclitiy 2 - Processing Unit- Cleaning, Grading</v>
      </c>
      <c r="B27" s="115">
        <f>'13.Facility 2 Grain Processing'!D180</f>
        <v>0</v>
      </c>
      <c r="C27" s="115">
        <f>'13.Facility 2 Grain Processing'!E180</f>
        <v>0</v>
      </c>
      <c r="D27" s="115">
        <f>'13.Facility 2 Grain Processing'!F180</f>
        <v>0</v>
      </c>
      <c r="E27" s="115">
        <f>'13.Facility 2 Grain Processing'!G180</f>
        <v>0</v>
      </c>
      <c r="F27" s="115">
        <f>'13.Facility 2 Grain Processing'!H180</f>
        <v>0</v>
      </c>
      <c r="G27" s="115">
        <f>'13.Facility 2 Grain Processing'!I180</f>
        <v>0</v>
      </c>
      <c r="H27" s="115">
        <f>'13.Facility 2 Grain Processing'!J180</f>
        <v>0</v>
      </c>
    </row>
    <row r="28" spans="1:8" x14ac:dyDescent="0.35">
      <c r="A28" s="112" t="str">
        <f t="shared" si="3"/>
        <v>Faclitiy 3 - Warehouse</v>
      </c>
      <c r="B28" s="115">
        <f>'14. Facility 3 Warehouse'!D43</f>
        <v>300000</v>
      </c>
      <c r="C28" s="115">
        <f>'14. Facility 3 Warehouse'!E43</f>
        <v>315000</v>
      </c>
      <c r="D28" s="115">
        <f>'14. Facility 3 Warehouse'!F43</f>
        <v>330750</v>
      </c>
      <c r="E28" s="115">
        <f>'14. Facility 3 Warehouse'!G43</f>
        <v>347287.50000000012</v>
      </c>
      <c r="F28" s="115">
        <f>'14. Facility 3 Warehouse'!H43</f>
        <v>364651.87500000012</v>
      </c>
      <c r="G28" s="115">
        <f>'14. Facility 3 Warehouse'!I43</f>
        <v>382884.46875000012</v>
      </c>
      <c r="H28" s="115">
        <f>'14. Facility 3 Warehouse'!J43</f>
        <v>402028.69218750013</v>
      </c>
    </row>
    <row r="29" spans="1:8" hidden="1" x14ac:dyDescent="0.35">
      <c r="A29" s="112" t="str">
        <f t="shared" si="3"/>
        <v xml:space="preserve">Faclitiy 4 - Custom Hiring </v>
      </c>
      <c r="B29" s="115">
        <f>'15. Facility 4 Custom Hiring'!E56</f>
        <v>0</v>
      </c>
      <c r="C29" s="115">
        <f>'15. Facility 4 Custom Hiring'!F56</f>
        <v>0</v>
      </c>
      <c r="D29" s="115">
        <f>'15. Facility 4 Custom Hiring'!G56</f>
        <v>0</v>
      </c>
      <c r="E29" s="115">
        <f>'15. Facility 4 Custom Hiring'!H56</f>
        <v>0</v>
      </c>
      <c r="F29" s="115">
        <f>'15. Facility 4 Custom Hiring'!I56</f>
        <v>0</v>
      </c>
      <c r="G29" s="115">
        <f>'15. Facility 4 Custom Hiring'!J56</f>
        <v>0</v>
      </c>
      <c r="H29" s="115">
        <f>'15. Facility 4 Custom Hiring'!K56</f>
        <v>0</v>
      </c>
    </row>
    <row r="30" spans="1:8" hidden="1" x14ac:dyDescent="0.35">
      <c r="A30" s="112" t="str">
        <f t="shared" si="3"/>
        <v>Faclitiy 5 - Agri Input Centre</v>
      </c>
      <c r="B30" s="115">
        <f>'16.Facility 5 Agri Input'!D273</f>
        <v>0</v>
      </c>
      <c r="C30" s="115">
        <f>'16.Facility 5 Agri Input'!E273</f>
        <v>0</v>
      </c>
      <c r="D30" s="115">
        <f>'16.Facility 5 Agri Input'!F273</f>
        <v>0</v>
      </c>
      <c r="E30" s="115">
        <f>'16.Facility 5 Agri Input'!G273</f>
        <v>0</v>
      </c>
      <c r="F30" s="115">
        <f>'16.Facility 5 Agri Input'!H273</f>
        <v>0</v>
      </c>
      <c r="G30" s="115">
        <f>'16.Facility 5 Agri Input'!I273</f>
        <v>0</v>
      </c>
      <c r="H30" s="115">
        <f>'16.Facility 5 Agri Input'!J273</f>
        <v>0</v>
      </c>
    </row>
    <row r="31" spans="1:8" hidden="1" x14ac:dyDescent="0.35">
      <c r="A31" s="112" t="str">
        <f t="shared" si="3"/>
        <v>Facility 6 - Processing Unit - Horti Commodity</v>
      </c>
      <c r="B31" s="115">
        <f>'17.Facility 6 Horti Processing '!D185</f>
        <v>0</v>
      </c>
      <c r="C31" s="115">
        <f>'17.Facility 6 Horti Processing '!E185</f>
        <v>0</v>
      </c>
      <c r="D31" s="115">
        <f>'17.Facility 6 Horti Processing '!F185</f>
        <v>0</v>
      </c>
      <c r="E31" s="115">
        <f>'17.Facility 6 Horti Processing '!G185</f>
        <v>0</v>
      </c>
      <c r="F31" s="115">
        <f>'17.Facility 6 Horti Processing '!H185</f>
        <v>0</v>
      </c>
      <c r="G31" s="115">
        <f>'17.Facility 6 Horti Processing '!I185</f>
        <v>0</v>
      </c>
      <c r="H31" s="115">
        <f>'17.Facility 6 Horti Processing '!J185</f>
        <v>0</v>
      </c>
    </row>
    <row r="32" spans="1:8" x14ac:dyDescent="0.35">
      <c r="A32" s="112"/>
      <c r="B32" s="115"/>
      <c r="C32" s="115"/>
      <c r="D32" s="115"/>
      <c r="E32" s="115"/>
      <c r="F32" s="115"/>
      <c r="G32" s="115"/>
      <c r="H32" s="115"/>
    </row>
    <row r="33" spans="1:10" x14ac:dyDescent="0.35">
      <c r="A33" s="112" t="s">
        <v>9</v>
      </c>
      <c r="B33" s="115">
        <f>'3.Other Exp &amp; Taxes'!E23</f>
        <v>950800</v>
      </c>
      <c r="C33" s="115">
        <f>'3.Other Exp &amp; Taxes'!F23</f>
        <v>998340</v>
      </c>
      <c r="D33" s="115">
        <f>'3.Other Exp &amp; Taxes'!G23</f>
        <v>1048257</v>
      </c>
      <c r="E33" s="115">
        <f>'3.Other Exp &amp; Taxes'!H23</f>
        <v>1100669.8500000001</v>
      </c>
      <c r="F33" s="115">
        <f>'3.Other Exp &amp; Taxes'!I23</f>
        <v>1155703.3425000003</v>
      </c>
      <c r="G33" s="115">
        <f>'3.Other Exp &amp; Taxes'!J23</f>
        <v>1213488.5096250002</v>
      </c>
      <c r="H33" s="115">
        <f>'3.Other Exp &amp; Taxes'!K23</f>
        <v>1274162.9351062505</v>
      </c>
    </row>
    <row r="34" spans="1:10" x14ac:dyDescent="0.35">
      <c r="A34" s="116" t="s">
        <v>320</v>
      </c>
      <c r="B34" s="117">
        <f t="shared" ref="B34:H34" si="4">SUM(B26:B33)</f>
        <v>2150800</v>
      </c>
      <c r="C34" s="117">
        <f t="shared" si="4"/>
        <v>2258340</v>
      </c>
      <c r="D34" s="117">
        <f t="shared" si="4"/>
        <v>2371257</v>
      </c>
      <c r="E34" s="117">
        <f t="shared" si="4"/>
        <v>2489819.8500000006</v>
      </c>
      <c r="F34" s="117">
        <f t="shared" si="4"/>
        <v>2614310.8425000007</v>
      </c>
      <c r="G34" s="117">
        <f t="shared" si="4"/>
        <v>2745026.3846250009</v>
      </c>
      <c r="H34" s="117">
        <f t="shared" si="4"/>
        <v>2882277.7038562512</v>
      </c>
    </row>
    <row r="35" spans="1:10" x14ac:dyDescent="0.35">
      <c r="A35" s="112"/>
      <c r="B35" s="115"/>
      <c r="C35" s="115"/>
      <c r="D35" s="115"/>
      <c r="E35" s="115"/>
      <c r="F35" s="115"/>
      <c r="G35" s="115"/>
      <c r="H35" s="115"/>
    </row>
    <row r="36" spans="1:10" x14ac:dyDescent="0.35">
      <c r="A36" s="116" t="s">
        <v>325</v>
      </c>
      <c r="B36" s="117">
        <f t="shared" ref="B36:H36" si="5">B23+B34</f>
        <v>70150118.023450956</v>
      </c>
      <c r="C36" s="117">
        <f t="shared" si="5"/>
        <v>82151309.797912389</v>
      </c>
      <c r="D36" s="117">
        <f t="shared" si="5"/>
        <v>93877147.075380296</v>
      </c>
      <c r="E36" s="117">
        <f t="shared" si="5"/>
        <v>106570189.80610017</v>
      </c>
      <c r="F36" s="117">
        <f t="shared" si="5"/>
        <v>120297843.94220363</v>
      </c>
      <c r="G36" s="117">
        <f t="shared" si="5"/>
        <v>135131838.01740214</v>
      </c>
      <c r="H36" s="117">
        <f t="shared" si="5"/>
        <v>151148486.89026502</v>
      </c>
    </row>
    <row r="37" spans="1:10" x14ac:dyDescent="0.35">
      <c r="A37" s="112"/>
      <c r="B37" s="115"/>
      <c r="C37" s="115"/>
      <c r="D37" s="115"/>
      <c r="E37" s="115"/>
      <c r="F37" s="115"/>
      <c r="G37" s="115"/>
      <c r="H37" s="115"/>
    </row>
    <row r="38" spans="1:10" x14ac:dyDescent="0.35">
      <c r="A38" s="116" t="s">
        <v>135</v>
      </c>
      <c r="B38" s="117">
        <f t="shared" ref="B38:H38" si="6">B13-B36</f>
        <v>3222100.4475865364</v>
      </c>
      <c r="C38" s="117">
        <f t="shared" si="6"/>
        <v>4105560.5737653226</v>
      </c>
      <c r="D38" s="117">
        <f t="shared" si="6"/>
        <v>4915604.795264259</v>
      </c>
      <c r="E38" s="117">
        <f t="shared" si="6"/>
        <v>5796389.5374787748</v>
      </c>
      <c r="F38" s="117">
        <f t="shared" si="6"/>
        <v>6752963.7419264615</v>
      </c>
      <c r="G38" s="117">
        <f t="shared" si="6"/>
        <v>7737100.567350328</v>
      </c>
      <c r="H38" s="117">
        <f t="shared" si="6"/>
        <v>8802768.6659617126</v>
      </c>
      <c r="J38" s="239">
        <f>B47+B40+B41</f>
        <v>2444612.6023768638</v>
      </c>
    </row>
    <row r="39" spans="1:10" x14ac:dyDescent="0.35">
      <c r="A39" s="112"/>
      <c r="B39" s="115"/>
      <c r="C39" s="115"/>
      <c r="D39" s="115"/>
      <c r="E39" s="115"/>
      <c r="F39" s="115"/>
      <c r="G39" s="115"/>
      <c r="H39" s="115"/>
      <c r="J39" s="107">
        <f>'5.Closing Stock &amp; W Capital'!E51</f>
        <v>454343.43419814203</v>
      </c>
    </row>
    <row r="40" spans="1:10" x14ac:dyDescent="0.35">
      <c r="A40" s="125" t="s">
        <v>17</v>
      </c>
      <c r="B40" s="115">
        <f>'3.Other Exp &amp; Taxes'!C66</f>
        <v>791583.62499999988</v>
      </c>
      <c r="C40" s="115">
        <f>'3.Other Exp &amp; Taxes'!D66</f>
        <v>791583.62499999988</v>
      </c>
      <c r="D40" s="115">
        <f>'3.Other Exp &amp; Taxes'!E66</f>
        <v>791583.62499999988</v>
      </c>
      <c r="E40" s="115">
        <f>'3.Other Exp &amp; Taxes'!F66</f>
        <v>791583.62499999988</v>
      </c>
      <c r="F40" s="115">
        <f>'3.Other Exp &amp; Taxes'!G66</f>
        <v>791583.62499999988</v>
      </c>
      <c r="G40" s="115">
        <f>'3.Other Exp &amp; Taxes'!H66</f>
        <v>791583.62499999988</v>
      </c>
      <c r="H40" s="115">
        <f>'3.Other Exp &amp; Taxes'!I66</f>
        <v>791583.62499999988</v>
      </c>
      <c r="J40" s="239">
        <f>J38+J39</f>
        <v>2898956.0365750059</v>
      </c>
    </row>
    <row r="41" spans="1:10" x14ac:dyDescent="0.35">
      <c r="A41" s="125" t="s">
        <v>136</v>
      </c>
      <c r="B41" s="115">
        <f>'3.Other Exp &amp; Taxes'!C86</f>
        <v>45720</v>
      </c>
      <c r="C41" s="115">
        <f>'3.Other Exp &amp; Taxes'!D86</f>
        <v>45720</v>
      </c>
      <c r="D41" s="115">
        <f>'3.Other Exp &amp; Taxes'!E86</f>
        <v>45720</v>
      </c>
      <c r="E41" s="115">
        <f>'3.Other Exp &amp; Taxes'!F86</f>
        <v>45720</v>
      </c>
      <c r="F41" s="115">
        <f>'3.Other Exp &amp; Taxes'!G86</f>
        <v>45720</v>
      </c>
      <c r="G41" s="115">
        <f>'3.Other Exp &amp; Taxes'!H86</f>
        <v>0</v>
      </c>
      <c r="H41" s="115">
        <f>'3.Other Exp &amp; Taxes'!I86</f>
        <v>0</v>
      </c>
    </row>
    <row r="42" spans="1:10" x14ac:dyDescent="0.35">
      <c r="A42" s="112"/>
      <c r="B42" s="115"/>
      <c r="C42" s="115"/>
      <c r="D42" s="115"/>
      <c r="E42" s="115"/>
      <c r="F42" s="115"/>
      <c r="G42" s="115"/>
      <c r="H42" s="115"/>
    </row>
    <row r="43" spans="1:10" x14ac:dyDescent="0.35">
      <c r="A43" s="116" t="s">
        <v>137</v>
      </c>
      <c r="B43" s="117">
        <f>B38-B40-B41</f>
        <v>2384796.8225865364</v>
      </c>
      <c r="C43" s="117">
        <f t="shared" ref="C43:H43" si="7">C38-C40-C41</f>
        <v>3268256.9487653226</v>
      </c>
      <c r="D43" s="117">
        <f t="shared" si="7"/>
        <v>4078301.170264259</v>
      </c>
      <c r="E43" s="117">
        <f t="shared" si="7"/>
        <v>4959085.9124787748</v>
      </c>
      <c r="F43" s="117">
        <f t="shared" si="7"/>
        <v>5915660.1169264615</v>
      </c>
      <c r="G43" s="117">
        <f t="shared" si="7"/>
        <v>6945516.942350328</v>
      </c>
      <c r="H43" s="117">
        <f t="shared" si="7"/>
        <v>8011185.0409617126</v>
      </c>
    </row>
    <row r="44" spans="1:10" x14ac:dyDescent="0.35">
      <c r="A44" s="112"/>
      <c r="B44" s="115"/>
      <c r="C44" s="115"/>
      <c r="D44" s="115"/>
      <c r="E44" s="115"/>
      <c r="F44" s="115"/>
      <c r="G44" s="115"/>
      <c r="H44" s="115"/>
    </row>
    <row r="45" spans="1:10" x14ac:dyDescent="0.35">
      <c r="A45" s="112" t="s">
        <v>24</v>
      </c>
      <c r="B45" s="115">
        <f>'8.Cash Flow '!C27+'8.Cash Flow '!C29</f>
        <v>777487.84520967258</v>
      </c>
      <c r="C45" s="115">
        <f>'8.Cash Flow '!D27+'8.Cash Flow '!D29</f>
        <v>703627.82739040442</v>
      </c>
      <c r="D45" s="115">
        <f>'8.Cash Flow '!E27+'8.Cash Flow '!E29</f>
        <v>530921.98272510711</v>
      </c>
      <c r="E45" s="115">
        <f>'8.Cash Flow '!F27+'8.Cash Flow '!F29</f>
        <v>365144.3045408685</v>
      </c>
      <c r="F45" s="115">
        <f>'8.Cash Flow '!G27+'8.Cash Flow '!G29</f>
        <v>373327.8163454883</v>
      </c>
      <c r="G45" s="115">
        <f>'8.Cash Flow '!H27+'8.Cash Flow '!H29</f>
        <v>419440.90286863042</v>
      </c>
      <c r="H45" s="115">
        <f>'8.Cash Flow '!I27+'8.Cash Flow '!I29</f>
        <v>469231.97850322298</v>
      </c>
    </row>
    <row r="46" spans="1:10" x14ac:dyDescent="0.35">
      <c r="A46" s="112"/>
      <c r="B46" s="115"/>
      <c r="C46" s="115"/>
      <c r="D46" s="115"/>
      <c r="E46" s="115"/>
      <c r="F46" s="115"/>
      <c r="G46" s="115"/>
      <c r="H46" s="115"/>
    </row>
    <row r="47" spans="1:10" x14ac:dyDescent="0.35">
      <c r="A47" s="112" t="s">
        <v>25</v>
      </c>
      <c r="B47" s="115">
        <f>B43-B45</f>
        <v>1607308.9773768638</v>
      </c>
      <c r="C47" s="115">
        <f t="shared" ref="C47:H47" si="8">C43-C45</f>
        <v>2564629.1213749181</v>
      </c>
      <c r="D47" s="115">
        <f t="shared" si="8"/>
        <v>3547379.1875391519</v>
      </c>
      <c r="E47" s="115">
        <f t="shared" si="8"/>
        <v>4593941.6079379059</v>
      </c>
      <c r="F47" s="115">
        <f t="shared" si="8"/>
        <v>5542332.3005809728</v>
      </c>
      <c r="G47" s="115">
        <f t="shared" si="8"/>
        <v>6526076.0394816976</v>
      </c>
      <c r="H47" s="115">
        <f t="shared" si="8"/>
        <v>7541953.06245849</v>
      </c>
    </row>
    <row r="48" spans="1:10" x14ac:dyDescent="0.35">
      <c r="A48" s="112" t="s">
        <v>26</v>
      </c>
      <c r="B48" s="115">
        <f>'3.Other Exp &amp; Taxes'!B99</f>
        <v>50083.410617984569</v>
      </c>
      <c r="C48" s="115">
        <f>'3.Other Exp &amp; Taxes'!C99</f>
        <v>385407.68535747868</v>
      </c>
      <c r="D48" s="115">
        <f>'3.Other Exp &amp; Taxes'!D99</f>
        <v>708920.26472517953</v>
      </c>
      <c r="E48" s="115">
        <f>'3.Other Exp &amp; Taxes'!E99</f>
        <v>1036079.1926031056</v>
      </c>
      <c r="F48" s="115">
        <f>'3.Other Exp &amp; Taxes'!F99</f>
        <v>1328286.2951310154</v>
      </c>
      <c r="G48" s="115">
        <f>'3.Other Exp &amp; Taxes'!G99</f>
        <v>1622569.8781023494</v>
      </c>
      <c r="H48" s="115">
        <f>'3.Other Exp &amp; Taxes'!H99</f>
        <v>1919655.7650062954</v>
      </c>
    </row>
    <row r="49" spans="1:9" x14ac:dyDescent="0.35">
      <c r="A49" s="116" t="s">
        <v>28</v>
      </c>
      <c r="B49" s="115">
        <f>B47-B48</f>
        <v>1557225.5667588792</v>
      </c>
      <c r="C49" s="115">
        <f>C47-C48</f>
        <v>2179221.4360174397</v>
      </c>
      <c r="D49" s="115">
        <f>D47-D48</f>
        <v>2838458.9228139725</v>
      </c>
      <c r="E49" s="115">
        <f>E47-E48</f>
        <v>3557862.4153348003</v>
      </c>
      <c r="F49" s="115">
        <f>F47-F48</f>
        <v>4214046.0054499572</v>
      </c>
      <c r="G49" s="115">
        <f t="shared" ref="G49:H49" si="9">G47-G48</f>
        <v>4903506.1613793485</v>
      </c>
      <c r="H49" s="115">
        <f t="shared" si="9"/>
        <v>5622297.2974521946</v>
      </c>
    </row>
    <row r="50" spans="1:9" x14ac:dyDescent="0.35">
      <c r="A50" s="311"/>
      <c r="B50" s="312"/>
      <c r="C50" s="312"/>
      <c r="D50" s="312"/>
      <c r="E50" s="312"/>
      <c r="F50" s="312"/>
      <c r="G50" s="312"/>
      <c r="H50" s="312"/>
    </row>
    <row r="51" spans="1:9" x14ac:dyDescent="0.35">
      <c r="A51" s="107" t="s">
        <v>505</v>
      </c>
      <c r="B51" s="237">
        <f>B49</f>
        <v>1557225.5667588792</v>
      </c>
      <c r="C51" s="237">
        <f t="shared" ref="C51:H51" si="10">B51+C49</f>
        <v>3736447.0027763192</v>
      </c>
      <c r="D51" s="237">
        <f t="shared" si="10"/>
        <v>6574905.9255902916</v>
      </c>
      <c r="E51" s="237">
        <f t="shared" si="10"/>
        <v>10132768.340925092</v>
      </c>
      <c r="F51" s="237">
        <f t="shared" si="10"/>
        <v>14346814.346375048</v>
      </c>
      <c r="G51" s="237">
        <f t="shared" si="10"/>
        <v>19250320.507754397</v>
      </c>
      <c r="H51" s="237">
        <f t="shared" si="10"/>
        <v>24872617.805206589</v>
      </c>
    </row>
    <row r="52" spans="1:9" ht="32.5" customHeight="1" x14ac:dyDescent="0.35">
      <c r="A52" s="447" t="s">
        <v>403</v>
      </c>
      <c r="B52" s="447"/>
      <c r="C52" s="447"/>
      <c r="D52" s="447"/>
      <c r="E52" s="447"/>
      <c r="F52" s="447"/>
      <c r="G52" s="447"/>
      <c r="H52" s="447"/>
      <c r="I52" s="447"/>
    </row>
    <row r="54" spans="1:9" x14ac:dyDescent="0.35">
      <c r="A54" s="377"/>
    </row>
  </sheetData>
  <autoFilter ref="A3:I49" xr:uid="{00000000-0001-0000-0600-000000000000}">
    <filterColumn colId="1">
      <filters blank="1">
        <filter val="1,20,000"/>
        <filter val="14,68,426"/>
        <filter val="14,87,309"/>
        <filter val="18,883"/>
        <filter val="2,09,600"/>
        <filter val="22,64,797"/>
        <filter val="22,70,800"/>
        <filter val="3,00,000"/>
        <filter val="31,02,100"/>
        <filter val="45,720"/>
        <filter val="6,72,000"/>
        <filter val="6,77,89,718"/>
        <filter val="6,79,99,318"/>
        <filter val="7,02,70,118"/>
        <filter val="7,27,00,218"/>
        <filter val="7,33,72,218"/>
        <filter val="7,77,488"/>
        <filter val="7,91,584"/>
        <filter val="9,00,000"/>
        <filter val="9,50,800"/>
      </filters>
    </filterColumn>
  </autoFilter>
  <mergeCells count="2">
    <mergeCell ref="A2:H2"/>
    <mergeCell ref="A52:I52"/>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9"/>
  <sheetViews>
    <sheetView view="pageBreakPreview" topLeftCell="A27" zoomScale="80" zoomScaleSheetLayoutView="80" workbookViewId="0">
      <selection activeCell="A3" sqref="A3:H42"/>
    </sheetView>
  </sheetViews>
  <sheetFormatPr defaultRowHeight="14.5" x14ac:dyDescent="0.35"/>
  <cols>
    <col min="1" max="1" width="37.26953125" style="277" customWidth="1"/>
    <col min="2" max="2" width="18.453125" style="277" bestFit="1" customWidth="1"/>
    <col min="3" max="3" width="16.453125" style="277" customWidth="1"/>
    <col min="4" max="4" width="17" style="277" customWidth="1"/>
    <col min="5" max="5" width="18.54296875" style="277" customWidth="1"/>
    <col min="6" max="6" width="17.26953125" style="277" customWidth="1"/>
    <col min="7" max="7" width="16.1796875" style="277" customWidth="1"/>
    <col min="8" max="8" width="15.81640625" style="277" customWidth="1"/>
    <col min="9" max="9" width="9.1796875" style="277"/>
    <col min="10" max="10" width="32.81640625" style="277" bestFit="1" customWidth="1"/>
    <col min="11" max="16" width="8.7265625" style="277" bestFit="1"/>
    <col min="17" max="17" width="10.1796875" style="277" bestFit="1" customWidth="1"/>
    <col min="18" max="256" width="9.1796875" style="277"/>
    <col min="257" max="257" width="37.26953125" style="277" customWidth="1"/>
    <col min="258" max="258" width="18.453125" style="277" bestFit="1" customWidth="1"/>
    <col min="259" max="262" width="12.453125" style="277" bestFit="1" customWidth="1"/>
    <col min="263" max="263" width="11.7265625" style="277" bestFit="1" customWidth="1"/>
    <col min="264" max="512" width="9.1796875" style="277"/>
    <col min="513" max="513" width="37.26953125" style="277" customWidth="1"/>
    <col min="514" max="514" width="18.453125" style="277" bestFit="1" customWidth="1"/>
    <col min="515" max="518" width="12.453125" style="277" bestFit="1" customWidth="1"/>
    <col min="519" max="519" width="11.7265625" style="277" bestFit="1" customWidth="1"/>
    <col min="520" max="768" width="9.1796875" style="277"/>
    <col min="769" max="769" width="37.26953125" style="277" customWidth="1"/>
    <col min="770" max="770" width="18.453125" style="277" bestFit="1" customWidth="1"/>
    <col min="771" max="774" width="12.453125" style="277" bestFit="1" customWidth="1"/>
    <col min="775" max="775" width="11.7265625" style="277" bestFit="1" customWidth="1"/>
    <col min="776" max="1024" width="9.1796875" style="277"/>
    <col min="1025" max="1025" width="37.26953125" style="277" customWidth="1"/>
    <col min="1026" max="1026" width="18.453125" style="277" bestFit="1" customWidth="1"/>
    <col min="1027" max="1030" width="12.453125" style="277" bestFit="1" customWidth="1"/>
    <col min="1031" max="1031" width="11.7265625" style="277" bestFit="1" customWidth="1"/>
    <col min="1032" max="1280" width="9.1796875" style="277"/>
    <col min="1281" max="1281" width="37.26953125" style="277" customWidth="1"/>
    <col min="1282" max="1282" width="18.453125" style="277" bestFit="1" customWidth="1"/>
    <col min="1283" max="1286" width="12.453125" style="277" bestFit="1" customWidth="1"/>
    <col min="1287" max="1287" width="11.7265625" style="277" bestFit="1" customWidth="1"/>
    <col min="1288" max="1536" width="9.1796875" style="277"/>
    <col min="1537" max="1537" width="37.26953125" style="277" customWidth="1"/>
    <col min="1538" max="1538" width="18.453125" style="277" bestFit="1" customWidth="1"/>
    <col min="1539" max="1542" width="12.453125" style="277" bestFit="1" customWidth="1"/>
    <col min="1543" max="1543" width="11.7265625" style="277" bestFit="1" customWidth="1"/>
    <col min="1544" max="1792" width="9.1796875" style="277"/>
    <col min="1793" max="1793" width="37.26953125" style="277" customWidth="1"/>
    <col min="1794" max="1794" width="18.453125" style="277" bestFit="1" customWidth="1"/>
    <col min="1795" max="1798" width="12.453125" style="277" bestFit="1" customWidth="1"/>
    <col min="1799" max="1799" width="11.7265625" style="277" bestFit="1" customWidth="1"/>
    <col min="1800" max="2048" width="9.1796875" style="277"/>
    <col min="2049" max="2049" width="37.26953125" style="277" customWidth="1"/>
    <col min="2050" max="2050" width="18.453125" style="277" bestFit="1" customWidth="1"/>
    <col min="2051" max="2054" width="12.453125" style="277" bestFit="1" customWidth="1"/>
    <col min="2055" max="2055" width="11.7265625" style="277" bestFit="1" customWidth="1"/>
    <col min="2056" max="2304" width="9.1796875" style="277"/>
    <col min="2305" max="2305" width="37.26953125" style="277" customWidth="1"/>
    <col min="2306" max="2306" width="18.453125" style="277" bestFit="1" customWidth="1"/>
    <col min="2307" max="2310" width="12.453125" style="277" bestFit="1" customWidth="1"/>
    <col min="2311" max="2311" width="11.7265625" style="277" bestFit="1" customWidth="1"/>
    <col min="2312" max="2560" width="9.1796875" style="277"/>
    <col min="2561" max="2561" width="37.26953125" style="277" customWidth="1"/>
    <col min="2562" max="2562" width="18.453125" style="277" bestFit="1" customWidth="1"/>
    <col min="2563" max="2566" width="12.453125" style="277" bestFit="1" customWidth="1"/>
    <col min="2567" max="2567" width="11.7265625" style="277" bestFit="1" customWidth="1"/>
    <col min="2568" max="2816" width="9.1796875" style="277"/>
    <col min="2817" max="2817" width="37.26953125" style="277" customWidth="1"/>
    <col min="2818" max="2818" width="18.453125" style="277" bestFit="1" customWidth="1"/>
    <col min="2819" max="2822" width="12.453125" style="277" bestFit="1" customWidth="1"/>
    <col min="2823" max="2823" width="11.7265625" style="277" bestFit="1" customWidth="1"/>
    <col min="2824" max="3072" width="9.1796875" style="277"/>
    <col min="3073" max="3073" width="37.26953125" style="277" customWidth="1"/>
    <col min="3074" max="3074" width="18.453125" style="277" bestFit="1" customWidth="1"/>
    <col min="3075" max="3078" width="12.453125" style="277" bestFit="1" customWidth="1"/>
    <col min="3079" max="3079" width="11.7265625" style="277" bestFit="1" customWidth="1"/>
    <col min="3080" max="3328" width="9.1796875" style="277"/>
    <col min="3329" max="3329" width="37.26953125" style="277" customWidth="1"/>
    <col min="3330" max="3330" width="18.453125" style="277" bestFit="1" customWidth="1"/>
    <col min="3331" max="3334" width="12.453125" style="277" bestFit="1" customWidth="1"/>
    <col min="3335" max="3335" width="11.7265625" style="277" bestFit="1" customWidth="1"/>
    <col min="3336" max="3584" width="9.1796875" style="277"/>
    <col min="3585" max="3585" width="37.26953125" style="277" customWidth="1"/>
    <col min="3586" max="3586" width="18.453125" style="277" bestFit="1" customWidth="1"/>
    <col min="3587" max="3590" width="12.453125" style="277" bestFit="1" customWidth="1"/>
    <col min="3591" max="3591" width="11.7265625" style="277" bestFit="1" customWidth="1"/>
    <col min="3592" max="3840" width="9.1796875" style="277"/>
    <col min="3841" max="3841" width="37.26953125" style="277" customWidth="1"/>
    <col min="3842" max="3842" width="18.453125" style="277" bestFit="1" customWidth="1"/>
    <col min="3843" max="3846" width="12.453125" style="277" bestFit="1" customWidth="1"/>
    <col min="3847" max="3847" width="11.7265625" style="277" bestFit="1" customWidth="1"/>
    <col min="3848" max="4096" width="9.1796875" style="277"/>
    <col min="4097" max="4097" width="37.26953125" style="277" customWidth="1"/>
    <col min="4098" max="4098" width="18.453125" style="277" bestFit="1" customWidth="1"/>
    <col min="4099" max="4102" width="12.453125" style="277" bestFit="1" customWidth="1"/>
    <col min="4103" max="4103" width="11.7265625" style="277" bestFit="1" customWidth="1"/>
    <col min="4104" max="4352" width="9.1796875" style="277"/>
    <col min="4353" max="4353" width="37.26953125" style="277" customWidth="1"/>
    <col min="4354" max="4354" width="18.453125" style="277" bestFit="1" customWidth="1"/>
    <col min="4355" max="4358" width="12.453125" style="277" bestFit="1" customWidth="1"/>
    <col min="4359" max="4359" width="11.7265625" style="277" bestFit="1" customWidth="1"/>
    <col min="4360" max="4608" width="9.1796875" style="277"/>
    <col min="4609" max="4609" width="37.26953125" style="277" customWidth="1"/>
    <col min="4610" max="4610" width="18.453125" style="277" bestFit="1" customWidth="1"/>
    <col min="4611" max="4614" width="12.453125" style="277" bestFit="1" customWidth="1"/>
    <col min="4615" max="4615" width="11.7265625" style="277" bestFit="1" customWidth="1"/>
    <col min="4616" max="4864" width="9.1796875" style="277"/>
    <col min="4865" max="4865" width="37.26953125" style="277" customWidth="1"/>
    <col min="4866" max="4866" width="18.453125" style="277" bestFit="1" customWidth="1"/>
    <col min="4867" max="4870" width="12.453125" style="277" bestFit="1" customWidth="1"/>
    <col min="4871" max="4871" width="11.7265625" style="277" bestFit="1" customWidth="1"/>
    <col min="4872" max="5120" width="9.1796875" style="277"/>
    <col min="5121" max="5121" width="37.26953125" style="277" customWidth="1"/>
    <col min="5122" max="5122" width="18.453125" style="277" bestFit="1" customWidth="1"/>
    <col min="5123" max="5126" width="12.453125" style="277" bestFit="1" customWidth="1"/>
    <col min="5127" max="5127" width="11.7265625" style="277" bestFit="1" customWidth="1"/>
    <col min="5128" max="5376" width="9.1796875" style="277"/>
    <col min="5377" max="5377" width="37.26953125" style="277" customWidth="1"/>
    <col min="5378" max="5378" width="18.453125" style="277" bestFit="1" customWidth="1"/>
    <col min="5379" max="5382" width="12.453125" style="277" bestFit="1" customWidth="1"/>
    <col min="5383" max="5383" width="11.7265625" style="277" bestFit="1" customWidth="1"/>
    <col min="5384" max="5632" width="9.1796875" style="277"/>
    <col min="5633" max="5633" width="37.26953125" style="277" customWidth="1"/>
    <col min="5634" max="5634" width="18.453125" style="277" bestFit="1" customWidth="1"/>
    <col min="5635" max="5638" width="12.453125" style="277" bestFit="1" customWidth="1"/>
    <col min="5639" max="5639" width="11.7265625" style="277" bestFit="1" customWidth="1"/>
    <col min="5640" max="5888" width="9.1796875" style="277"/>
    <col min="5889" max="5889" width="37.26953125" style="277" customWidth="1"/>
    <col min="5890" max="5890" width="18.453125" style="277" bestFit="1" customWidth="1"/>
    <col min="5891" max="5894" width="12.453125" style="277" bestFit="1" customWidth="1"/>
    <col min="5895" max="5895" width="11.7265625" style="277" bestFit="1" customWidth="1"/>
    <col min="5896" max="6144" width="9.1796875" style="277"/>
    <col min="6145" max="6145" width="37.26953125" style="277" customWidth="1"/>
    <col min="6146" max="6146" width="18.453125" style="277" bestFit="1" customWidth="1"/>
    <col min="6147" max="6150" width="12.453125" style="277" bestFit="1" customWidth="1"/>
    <col min="6151" max="6151" width="11.7265625" style="277" bestFit="1" customWidth="1"/>
    <col min="6152" max="6400" width="9.1796875" style="277"/>
    <col min="6401" max="6401" width="37.26953125" style="277" customWidth="1"/>
    <col min="6402" max="6402" width="18.453125" style="277" bestFit="1" customWidth="1"/>
    <col min="6403" max="6406" width="12.453125" style="277" bestFit="1" customWidth="1"/>
    <col min="6407" max="6407" width="11.7265625" style="277" bestFit="1" customWidth="1"/>
    <col min="6408" max="6656" width="9.1796875" style="277"/>
    <col min="6657" max="6657" width="37.26953125" style="277" customWidth="1"/>
    <col min="6658" max="6658" width="18.453125" style="277" bestFit="1" customWidth="1"/>
    <col min="6659" max="6662" width="12.453125" style="277" bestFit="1" customWidth="1"/>
    <col min="6663" max="6663" width="11.7265625" style="277" bestFit="1" customWidth="1"/>
    <col min="6664" max="6912" width="9.1796875" style="277"/>
    <col min="6913" max="6913" width="37.26953125" style="277" customWidth="1"/>
    <col min="6914" max="6914" width="18.453125" style="277" bestFit="1" customWidth="1"/>
    <col min="6915" max="6918" width="12.453125" style="277" bestFit="1" customWidth="1"/>
    <col min="6919" max="6919" width="11.7265625" style="277" bestFit="1" customWidth="1"/>
    <col min="6920" max="7168" width="9.1796875" style="277"/>
    <col min="7169" max="7169" width="37.26953125" style="277" customWidth="1"/>
    <col min="7170" max="7170" width="18.453125" style="277" bestFit="1" customWidth="1"/>
    <col min="7171" max="7174" width="12.453125" style="277" bestFit="1" customWidth="1"/>
    <col min="7175" max="7175" width="11.7265625" style="277" bestFit="1" customWidth="1"/>
    <col min="7176" max="7424" width="9.1796875" style="277"/>
    <col min="7425" max="7425" width="37.26953125" style="277" customWidth="1"/>
    <col min="7426" max="7426" width="18.453125" style="277" bestFit="1" customWidth="1"/>
    <col min="7427" max="7430" width="12.453125" style="277" bestFit="1" customWidth="1"/>
    <col min="7431" max="7431" width="11.7265625" style="277" bestFit="1" customWidth="1"/>
    <col min="7432" max="7680" width="9.1796875" style="277"/>
    <col min="7681" max="7681" width="37.26953125" style="277" customWidth="1"/>
    <col min="7682" max="7682" width="18.453125" style="277" bestFit="1" customWidth="1"/>
    <col min="7683" max="7686" width="12.453125" style="277" bestFit="1" customWidth="1"/>
    <col min="7687" max="7687" width="11.7265625" style="277" bestFit="1" customWidth="1"/>
    <col min="7688" max="7936" width="9.1796875" style="277"/>
    <col min="7937" max="7937" width="37.26953125" style="277" customWidth="1"/>
    <col min="7938" max="7938" width="18.453125" style="277" bestFit="1" customWidth="1"/>
    <col min="7939" max="7942" width="12.453125" style="277" bestFit="1" customWidth="1"/>
    <col min="7943" max="7943" width="11.7265625" style="277" bestFit="1" customWidth="1"/>
    <col min="7944" max="8192" width="9.1796875" style="277"/>
    <col min="8193" max="8193" width="37.26953125" style="277" customWidth="1"/>
    <col min="8194" max="8194" width="18.453125" style="277" bestFit="1" customWidth="1"/>
    <col min="8195" max="8198" width="12.453125" style="277" bestFit="1" customWidth="1"/>
    <col min="8199" max="8199" width="11.7265625" style="277" bestFit="1" customWidth="1"/>
    <col min="8200" max="8448" width="9.1796875" style="277"/>
    <col min="8449" max="8449" width="37.26953125" style="277" customWidth="1"/>
    <col min="8450" max="8450" width="18.453125" style="277" bestFit="1" customWidth="1"/>
    <col min="8451" max="8454" width="12.453125" style="277" bestFit="1" customWidth="1"/>
    <col min="8455" max="8455" width="11.7265625" style="277" bestFit="1" customWidth="1"/>
    <col min="8456" max="8704" width="9.1796875" style="277"/>
    <col min="8705" max="8705" width="37.26953125" style="277" customWidth="1"/>
    <col min="8706" max="8706" width="18.453125" style="277" bestFit="1" customWidth="1"/>
    <col min="8707" max="8710" width="12.453125" style="277" bestFit="1" customWidth="1"/>
    <col min="8711" max="8711" width="11.7265625" style="277" bestFit="1" customWidth="1"/>
    <col min="8712" max="8960" width="9.1796875" style="277"/>
    <col min="8961" max="8961" width="37.26953125" style="277" customWidth="1"/>
    <col min="8962" max="8962" width="18.453125" style="277" bestFit="1" customWidth="1"/>
    <col min="8963" max="8966" width="12.453125" style="277" bestFit="1" customWidth="1"/>
    <col min="8967" max="8967" width="11.7265625" style="277" bestFit="1" customWidth="1"/>
    <col min="8968" max="9216" width="9.1796875" style="277"/>
    <col min="9217" max="9217" width="37.26953125" style="277" customWidth="1"/>
    <col min="9218" max="9218" width="18.453125" style="277" bestFit="1" customWidth="1"/>
    <col min="9219" max="9222" width="12.453125" style="277" bestFit="1" customWidth="1"/>
    <col min="9223" max="9223" width="11.7265625" style="277" bestFit="1" customWidth="1"/>
    <col min="9224" max="9472" width="9.1796875" style="277"/>
    <col min="9473" max="9473" width="37.26953125" style="277" customWidth="1"/>
    <col min="9474" max="9474" width="18.453125" style="277" bestFit="1" customWidth="1"/>
    <col min="9475" max="9478" width="12.453125" style="277" bestFit="1" customWidth="1"/>
    <col min="9479" max="9479" width="11.7265625" style="277" bestFit="1" customWidth="1"/>
    <col min="9480" max="9728" width="9.1796875" style="277"/>
    <col min="9729" max="9729" width="37.26953125" style="277" customWidth="1"/>
    <col min="9730" max="9730" width="18.453125" style="277" bestFit="1" customWidth="1"/>
    <col min="9731" max="9734" width="12.453125" style="277" bestFit="1" customWidth="1"/>
    <col min="9735" max="9735" width="11.7265625" style="277" bestFit="1" customWidth="1"/>
    <col min="9736" max="9984" width="9.1796875" style="277"/>
    <col min="9985" max="9985" width="37.26953125" style="277" customWidth="1"/>
    <col min="9986" max="9986" width="18.453125" style="277" bestFit="1" customWidth="1"/>
    <col min="9987" max="9990" width="12.453125" style="277" bestFit="1" customWidth="1"/>
    <col min="9991" max="9991" width="11.7265625" style="277" bestFit="1" customWidth="1"/>
    <col min="9992" max="10240" width="9.1796875" style="277"/>
    <col min="10241" max="10241" width="37.26953125" style="277" customWidth="1"/>
    <col min="10242" max="10242" width="18.453125" style="277" bestFit="1" customWidth="1"/>
    <col min="10243" max="10246" width="12.453125" style="277" bestFit="1" customWidth="1"/>
    <col min="10247" max="10247" width="11.7265625" style="277" bestFit="1" customWidth="1"/>
    <col min="10248" max="10496" width="9.1796875" style="277"/>
    <col min="10497" max="10497" width="37.26953125" style="277" customWidth="1"/>
    <col min="10498" max="10498" width="18.453125" style="277" bestFit="1" customWidth="1"/>
    <col min="10499" max="10502" width="12.453125" style="277" bestFit="1" customWidth="1"/>
    <col min="10503" max="10503" width="11.7265625" style="277" bestFit="1" customWidth="1"/>
    <col min="10504" max="10752" width="9.1796875" style="277"/>
    <col min="10753" max="10753" width="37.26953125" style="277" customWidth="1"/>
    <col min="10754" max="10754" width="18.453125" style="277" bestFit="1" customWidth="1"/>
    <col min="10755" max="10758" width="12.453125" style="277" bestFit="1" customWidth="1"/>
    <col min="10759" max="10759" width="11.7265625" style="277" bestFit="1" customWidth="1"/>
    <col min="10760" max="11008" width="9.1796875" style="277"/>
    <col min="11009" max="11009" width="37.26953125" style="277" customWidth="1"/>
    <col min="11010" max="11010" width="18.453125" style="277" bestFit="1" customWidth="1"/>
    <col min="11011" max="11014" width="12.453125" style="277" bestFit="1" customWidth="1"/>
    <col min="11015" max="11015" width="11.7265625" style="277" bestFit="1" customWidth="1"/>
    <col min="11016" max="11264" width="9.1796875" style="277"/>
    <col min="11265" max="11265" width="37.26953125" style="277" customWidth="1"/>
    <col min="11266" max="11266" width="18.453125" style="277" bestFit="1" customWidth="1"/>
    <col min="11267" max="11270" width="12.453125" style="277" bestFit="1" customWidth="1"/>
    <col min="11271" max="11271" width="11.7265625" style="277" bestFit="1" customWidth="1"/>
    <col min="11272" max="11520" width="9.1796875" style="277"/>
    <col min="11521" max="11521" width="37.26953125" style="277" customWidth="1"/>
    <col min="11522" max="11522" width="18.453125" style="277" bestFit="1" customWidth="1"/>
    <col min="11523" max="11526" width="12.453125" style="277" bestFit="1" customWidth="1"/>
    <col min="11527" max="11527" width="11.7265625" style="277" bestFit="1" customWidth="1"/>
    <col min="11528" max="11776" width="9.1796875" style="277"/>
    <col min="11777" max="11777" width="37.26953125" style="277" customWidth="1"/>
    <col min="11778" max="11778" width="18.453125" style="277" bestFit="1" customWidth="1"/>
    <col min="11779" max="11782" width="12.453125" style="277" bestFit="1" customWidth="1"/>
    <col min="11783" max="11783" width="11.7265625" style="277" bestFit="1" customWidth="1"/>
    <col min="11784" max="12032" width="9.1796875" style="277"/>
    <col min="12033" max="12033" width="37.26953125" style="277" customWidth="1"/>
    <col min="12034" max="12034" width="18.453125" style="277" bestFit="1" customWidth="1"/>
    <col min="12035" max="12038" width="12.453125" style="277" bestFit="1" customWidth="1"/>
    <col min="12039" max="12039" width="11.7265625" style="277" bestFit="1" customWidth="1"/>
    <col min="12040" max="12288" width="9.1796875" style="277"/>
    <col min="12289" max="12289" width="37.26953125" style="277" customWidth="1"/>
    <col min="12290" max="12290" width="18.453125" style="277" bestFit="1" customWidth="1"/>
    <col min="12291" max="12294" width="12.453125" style="277" bestFit="1" customWidth="1"/>
    <col min="12295" max="12295" width="11.7265625" style="277" bestFit="1" customWidth="1"/>
    <col min="12296" max="12544" width="9.1796875" style="277"/>
    <col min="12545" max="12545" width="37.26953125" style="277" customWidth="1"/>
    <col min="12546" max="12546" width="18.453125" style="277" bestFit="1" customWidth="1"/>
    <col min="12547" max="12550" width="12.453125" style="277" bestFit="1" customWidth="1"/>
    <col min="12551" max="12551" width="11.7265625" style="277" bestFit="1" customWidth="1"/>
    <col min="12552" max="12800" width="9.1796875" style="277"/>
    <col min="12801" max="12801" width="37.26953125" style="277" customWidth="1"/>
    <col min="12802" max="12802" width="18.453125" style="277" bestFit="1" customWidth="1"/>
    <col min="12803" max="12806" width="12.453125" style="277" bestFit="1" customWidth="1"/>
    <col min="12807" max="12807" width="11.7265625" style="277" bestFit="1" customWidth="1"/>
    <col min="12808" max="13056" width="9.1796875" style="277"/>
    <col min="13057" max="13057" width="37.26953125" style="277" customWidth="1"/>
    <col min="13058" max="13058" width="18.453125" style="277" bestFit="1" customWidth="1"/>
    <col min="13059" max="13062" width="12.453125" style="277" bestFit="1" customWidth="1"/>
    <col min="13063" max="13063" width="11.7265625" style="277" bestFit="1" customWidth="1"/>
    <col min="13064" max="13312" width="9.1796875" style="277"/>
    <col min="13313" max="13313" width="37.26953125" style="277" customWidth="1"/>
    <col min="13314" max="13314" width="18.453125" style="277" bestFit="1" customWidth="1"/>
    <col min="13315" max="13318" width="12.453125" style="277" bestFit="1" customWidth="1"/>
    <col min="13319" max="13319" width="11.7265625" style="277" bestFit="1" customWidth="1"/>
    <col min="13320" max="13568" width="9.1796875" style="277"/>
    <col min="13569" max="13569" width="37.26953125" style="277" customWidth="1"/>
    <col min="13570" max="13570" width="18.453125" style="277" bestFit="1" customWidth="1"/>
    <col min="13571" max="13574" width="12.453125" style="277" bestFit="1" customWidth="1"/>
    <col min="13575" max="13575" width="11.7265625" style="277" bestFit="1" customWidth="1"/>
    <col min="13576" max="13824" width="9.1796875" style="277"/>
    <col min="13825" max="13825" width="37.26953125" style="277" customWidth="1"/>
    <col min="13826" max="13826" width="18.453125" style="277" bestFit="1" customWidth="1"/>
    <col min="13827" max="13830" width="12.453125" style="277" bestFit="1" customWidth="1"/>
    <col min="13831" max="13831" width="11.7265625" style="277" bestFit="1" customWidth="1"/>
    <col min="13832" max="14080" width="9.1796875" style="277"/>
    <col min="14081" max="14081" width="37.26953125" style="277" customWidth="1"/>
    <col min="14082" max="14082" width="18.453125" style="277" bestFit="1" customWidth="1"/>
    <col min="14083" max="14086" width="12.453125" style="277" bestFit="1" customWidth="1"/>
    <col min="14087" max="14087" width="11.7265625" style="277" bestFit="1" customWidth="1"/>
    <col min="14088" max="14336" width="9.1796875" style="277"/>
    <col min="14337" max="14337" width="37.26953125" style="277" customWidth="1"/>
    <col min="14338" max="14338" width="18.453125" style="277" bestFit="1" customWidth="1"/>
    <col min="14339" max="14342" width="12.453125" style="277" bestFit="1" customWidth="1"/>
    <col min="14343" max="14343" width="11.7265625" style="277" bestFit="1" customWidth="1"/>
    <col min="14344" max="14592" width="9.1796875" style="277"/>
    <col min="14593" max="14593" width="37.26953125" style="277" customWidth="1"/>
    <col min="14594" max="14594" width="18.453125" style="277" bestFit="1" customWidth="1"/>
    <col min="14595" max="14598" width="12.453125" style="277" bestFit="1" customWidth="1"/>
    <col min="14599" max="14599" width="11.7265625" style="277" bestFit="1" customWidth="1"/>
    <col min="14600" max="14848" width="9.1796875" style="277"/>
    <col min="14849" max="14849" width="37.26953125" style="277" customWidth="1"/>
    <col min="14850" max="14850" width="18.453125" style="277" bestFit="1" customWidth="1"/>
    <col min="14851" max="14854" width="12.453125" style="277" bestFit="1" customWidth="1"/>
    <col min="14855" max="14855" width="11.7265625" style="277" bestFit="1" customWidth="1"/>
    <col min="14856" max="15104" width="9.1796875" style="277"/>
    <col min="15105" max="15105" width="37.26953125" style="277" customWidth="1"/>
    <col min="15106" max="15106" width="18.453125" style="277" bestFit="1" customWidth="1"/>
    <col min="15107" max="15110" width="12.453125" style="277" bestFit="1" customWidth="1"/>
    <col min="15111" max="15111" width="11.7265625" style="277" bestFit="1" customWidth="1"/>
    <col min="15112" max="15360" width="9.1796875" style="277"/>
    <col min="15361" max="15361" width="37.26953125" style="277" customWidth="1"/>
    <col min="15362" max="15362" width="18.453125" style="277" bestFit="1" customWidth="1"/>
    <col min="15363" max="15366" width="12.453125" style="277" bestFit="1" customWidth="1"/>
    <col min="15367" max="15367" width="11.7265625" style="277" bestFit="1" customWidth="1"/>
    <col min="15368" max="15616" width="9.1796875" style="277"/>
    <col min="15617" max="15617" width="37.26953125" style="277" customWidth="1"/>
    <col min="15618" max="15618" width="18.453125" style="277" bestFit="1" customWidth="1"/>
    <col min="15619" max="15622" width="12.453125" style="277" bestFit="1" customWidth="1"/>
    <col min="15623" max="15623" width="11.7265625" style="277" bestFit="1" customWidth="1"/>
    <col min="15624" max="15872" width="9.1796875" style="277"/>
    <col min="15873" max="15873" width="37.26953125" style="277" customWidth="1"/>
    <col min="15874" max="15874" width="18.453125" style="277" bestFit="1" customWidth="1"/>
    <col min="15875" max="15878" width="12.453125" style="277" bestFit="1" customWidth="1"/>
    <col min="15879" max="15879" width="11.7265625" style="277" bestFit="1" customWidth="1"/>
    <col min="15880" max="16128" width="9.1796875" style="277"/>
    <col min="16129" max="16129" width="37.26953125" style="277" customWidth="1"/>
    <col min="16130" max="16130" width="18.453125" style="277" bestFit="1" customWidth="1"/>
    <col min="16131" max="16134" width="12.453125" style="277" bestFit="1" customWidth="1"/>
    <col min="16135" max="16135" width="11.7265625" style="277" bestFit="1" customWidth="1"/>
    <col min="16136" max="16384" width="9.1796875" style="277"/>
  </cols>
  <sheetData>
    <row r="1" spans="1:18" x14ac:dyDescent="0.35">
      <c r="A1" s="432"/>
      <c r="B1" s="432"/>
      <c r="C1" s="432"/>
      <c r="D1" s="432"/>
      <c r="E1" s="432"/>
      <c r="F1" s="432"/>
    </row>
    <row r="2" spans="1:18" x14ac:dyDescent="0.35">
      <c r="A2" s="448" t="s">
        <v>700</v>
      </c>
      <c r="B2" s="421"/>
      <c r="C2" s="421"/>
      <c r="D2" s="421"/>
      <c r="E2" s="421"/>
      <c r="F2" s="421"/>
      <c r="G2" s="421"/>
      <c r="H2" s="421"/>
      <c r="I2" s="261"/>
    </row>
    <row r="3" spans="1:18" x14ac:dyDescent="0.35">
      <c r="A3" s="278" t="s">
        <v>0</v>
      </c>
      <c r="B3" s="279" t="s">
        <v>2</v>
      </c>
      <c r="C3" s="279" t="s">
        <v>3</v>
      </c>
      <c r="D3" s="279" t="s">
        <v>4</v>
      </c>
      <c r="E3" s="279" t="s">
        <v>5</v>
      </c>
      <c r="F3" s="279" t="s">
        <v>6</v>
      </c>
      <c r="G3" s="111" t="s">
        <v>165</v>
      </c>
      <c r="H3" s="111" t="s">
        <v>164</v>
      </c>
    </row>
    <row r="4" spans="1:18" s="283" customFormat="1" x14ac:dyDescent="0.35">
      <c r="A4" s="280"/>
      <c r="B4" s="281"/>
      <c r="C4" s="282"/>
      <c r="D4" s="282"/>
      <c r="E4" s="282"/>
      <c r="F4" s="282"/>
      <c r="G4" s="282"/>
      <c r="H4" s="282"/>
    </row>
    <row r="5" spans="1:18" x14ac:dyDescent="0.35">
      <c r="A5" s="284" t="s">
        <v>48</v>
      </c>
      <c r="B5" s="285"/>
      <c r="C5" s="285"/>
      <c r="D5" s="285"/>
      <c r="E5" s="285"/>
      <c r="F5" s="285"/>
      <c r="G5" s="285"/>
      <c r="H5" s="285"/>
    </row>
    <row r="6" spans="1:18" x14ac:dyDescent="0.35">
      <c r="A6" s="286" t="s">
        <v>49</v>
      </c>
      <c r="B6" s="287"/>
      <c r="C6" s="287"/>
      <c r="D6" s="287"/>
      <c r="E6" s="287"/>
      <c r="F6" s="287"/>
      <c r="G6" s="287"/>
      <c r="H6" s="287"/>
    </row>
    <row r="7" spans="1:18" x14ac:dyDescent="0.35">
      <c r="A7" s="288" t="s">
        <v>247</v>
      </c>
      <c r="B7" s="289">
        <f>'8.Cash Flow '!C35</f>
        <v>2842026.2049111873</v>
      </c>
      <c r="C7" s="289">
        <f>'8.Cash Flow '!D35</f>
        <v>4525008.3947217762</v>
      </c>
      <c r="D7" s="289">
        <f>'8.Cash Flow '!E35</f>
        <v>6221225.1324518174</v>
      </c>
      <c r="E7" s="289">
        <f>'8.Cash Flow '!F35</f>
        <v>9675973.894287616</v>
      </c>
      <c r="F7" s="289">
        <f>'8.Cash Flow '!G35</f>
        <v>14998069.012243688</v>
      </c>
      <c r="G7" s="289">
        <f>'8.Cash Flow '!H35</f>
        <v>20985802.818206847</v>
      </c>
      <c r="H7" s="289">
        <f>'8.Cash Flow '!I35</f>
        <v>27715739.281809539</v>
      </c>
      <c r="K7" s="290"/>
      <c r="L7" s="290"/>
      <c r="M7" s="290"/>
      <c r="N7" s="290"/>
      <c r="O7" s="290"/>
      <c r="P7" s="290"/>
      <c r="Q7" s="290"/>
      <c r="R7" s="290"/>
    </row>
    <row r="8" spans="1:18" x14ac:dyDescent="0.35">
      <c r="A8" s="291" t="s">
        <v>248</v>
      </c>
      <c r="B8" s="292">
        <f>'5.Closing Stock &amp; W Capital'!E36</f>
        <v>6030593.2989893835</v>
      </c>
      <c r="C8" s="292">
        <f>'5.Closing Stock &amp; W Capital'!F36</f>
        <v>7089605.7839735094</v>
      </c>
      <c r="D8" s="292">
        <f>'5.Closing Stock &amp; W Capital'!G36</f>
        <v>8119952.2085461272</v>
      </c>
      <c r="E8" s="292">
        <f>'5.Closing Stock &amp; W Capital'!H36</f>
        <v>9235609.2611160781</v>
      </c>
      <c r="F8" s="292">
        <f>'5.Closing Stock &amp; W Capital'!I36</f>
        <v>10442532.138421653</v>
      </c>
      <c r="G8" s="292">
        <f>'5.Closing Stock &amp; W Capital'!J36</f>
        <v>11742652.486418011</v>
      </c>
      <c r="H8" s="292">
        <f>'5.Closing Stock &amp; W Capital'!K36</f>
        <v>13146678.538867952</v>
      </c>
      <c r="K8" s="290"/>
      <c r="L8" s="290"/>
      <c r="M8" s="290"/>
      <c r="N8" s="290"/>
      <c r="O8" s="290"/>
      <c r="P8" s="290"/>
      <c r="Q8" s="290"/>
      <c r="R8" s="290"/>
    </row>
    <row r="9" spans="1:18" x14ac:dyDescent="0.35">
      <c r="A9" s="291" t="s">
        <v>583</v>
      </c>
      <c r="B9" s="292"/>
      <c r="C9" s="292"/>
      <c r="D9" s="292"/>
      <c r="E9" s="292"/>
      <c r="F9" s="292"/>
      <c r="G9" s="292"/>
      <c r="H9" s="292"/>
      <c r="K9" s="290"/>
      <c r="L9" s="290"/>
      <c r="M9" s="290"/>
      <c r="N9" s="290"/>
      <c r="O9" s="290"/>
      <c r="P9" s="290"/>
      <c r="Q9" s="290"/>
      <c r="R9" s="290"/>
    </row>
    <row r="10" spans="1:18" x14ac:dyDescent="0.35">
      <c r="A10" s="286" t="s">
        <v>249</v>
      </c>
      <c r="B10" s="289">
        <f t="shared" ref="B10:H10" si="0">SUM(B7:B9)</f>
        <v>8872619.5039005708</v>
      </c>
      <c r="C10" s="289">
        <f t="shared" si="0"/>
        <v>11614614.178695286</v>
      </c>
      <c r="D10" s="289">
        <f t="shared" si="0"/>
        <v>14341177.340997946</v>
      </c>
      <c r="E10" s="289">
        <f t="shared" si="0"/>
        <v>18911583.155403696</v>
      </c>
      <c r="F10" s="289">
        <f t="shared" si="0"/>
        <v>25440601.150665343</v>
      </c>
      <c r="G10" s="289">
        <f t="shared" si="0"/>
        <v>32728455.304624856</v>
      </c>
      <c r="H10" s="289">
        <f t="shared" si="0"/>
        <v>40862417.820677489</v>
      </c>
    </row>
    <row r="11" spans="1:18" x14ac:dyDescent="0.35">
      <c r="A11" s="286"/>
      <c r="B11" s="292"/>
      <c r="C11" s="292"/>
      <c r="D11" s="292"/>
      <c r="E11" s="292"/>
      <c r="F11" s="292"/>
      <c r="G11" s="292"/>
      <c r="H11" s="292"/>
      <c r="J11" s="290"/>
      <c r="K11" s="290"/>
      <c r="L11" s="290"/>
      <c r="M11" s="290"/>
      <c r="N11" s="290"/>
      <c r="O11" s="290"/>
      <c r="P11" s="290"/>
      <c r="Q11" s="290"/>
    </row>
    <row r="12" spans="1:18" x14ac:dyDescent="0.35">
      <c r="A12" s="293" t="s">
        <v>250</v>
      </c>
      <c r="B12" s="292">
        <f>'3.Other Exp &amp; Taxes'!C65</f>
        <v>18087883</v>
      </c>
      <c r="C12" s="292">
        <f>'3.Other Exp &amp; Taxes'!D65</f>
        <v>17296299.375</v>
      </c>
      <c r="D12" s="292">
        <f>'3.Other Exp &amp; Taxes'!E65</f>
        <v>16504715.750000002</v>
      </c>
      <c r="E12" s="292">
        <f>'3.Other Exp &amp; Taxes'!F65</f>
        <v>15713132.125</v>
      </c>
      <c r="F12" s="292">
        <f>'3.Other Exp &amp; Taxes'!G65</f>
        <v>14921548.500000002</v>
      </c>
      <c r="G12" s="292">
        <f>'3.Other Exp &amp; Taxes'!H65</f>
        <v>14129964.875000002</v>
      </c>
      <c r="H12" s="292">
        <f>'3.Other Exp &amp; Taxes'!I65</f>
        <v>13338381.250000002</v>
      </c>
    </row>
    <row r="13" spans="1:18" x14ac:dyDescent="0.35">
      <c r="A13" s="293" t="s">
        <v>251</v>
      </c>
      <c r="B13" s="292">
        <f>'3.Other Exp &amp; Taxes'!C66</f>
        <v>791583.62499999988</v>
      </c>
      <c r="C13" s="292">
        <f>'3.Other Exp &amp; Taxes'!D66</f>
        <v>791583.62499999988</v>
      </c>
      <c r="D13" s="292">
        <f>'3.Other Exp &amp; Taxes'!E66</f>
        <v>791583.62499999988</v>
      </c>
      <c r="E13" s="292">
        <f>'3.Other Exp &amp; Taxes'!F66</f>
        <v>791583.62499999988</v>
      </c>
      <c r="F13" s="292">
        <f>'3.Other Exp &amp; Taxes'!G66</f>
        <v>791583.62499999988</v>
      </c>
      <c r="G13" s="292">
        <f>'3.Other Exp &amp; Taxes'!H66</f>
        <v>791583.62499999988</v>
      </c>
      <c r="H13" s="292">
        <f>'3.Other Exp &amp; Taxes'!I66</f>
        <v>791583.62499999988</v>
      </c>
      <c r="K13" s="290"/>
      <c r="L13" s="290"/>
      <c r="M13" s="290"/>
      <c r="N13" s="290"/>
      <c r="O13" s="290"/>
      <c r="P13" s="290"/>
      <c r="Q13" s="290"/>
    </row>
    <row r="14" spans="1:18" s="294" customFormat="1" x14ac:dyDescent="0.35">
      <c r="A14" s="286" t="s">
        <v>196</v>
      </c>
      <c r="B14" s="289">
        <f t="shared" ref="B14:H14" si="1">B12-B13</f>
        <v>17296299.375</v>
      </c>
      <c r="C14" s="289">
        <f t="shared" si="1"/>
        <v>16504715.75</v>
      </c>
      <c r="D14" s="289">
        <f t="shared" si="1"/>
        <v>15713132.125000002</v>
      </c>
      <c r="E14" s="289">
        <f t="shared" si="1"/>
        <v>14921548.5</v>
      </c>
      <c r="F14" s="289">
        <f t="shared" si="1"/>
        <v>14129964.875000002</v>
      </c>
      <c r="G14" s="289">
        <f t="shared" si="1"/>
        <v>13338381.250000002</v>
      </c>
      <c r="H14" s="289">
        <f t="shared" si="1"/>
        <v>12546797.625000002</v>
      </c>
    </row>
    <row r="15" spans="1:18" s="294" customFormat="1" x14ac:dyDescent="0.35">
      <c r="A15" s="286"/>
      <c r="B15" s="289"/>
      <c r="C15" s="289"/>
      <c r="D15" s="289"/>
      <c r="E15" s="289"/>
      <c r="F15" s="289"/>
      <c r="G15" s="289"/>
      <c r="H15" s="289"/>
    </row>
    <row r="16" spans="1:18" s="294" customFormat="1" x14ac:dyDescent="0.35">
      <c r="A16" s="295"/>
      <c r="B16" s="289"/>
      <c r="C16" s="289"/>
      <c r="D16" s="289"/>
      <c r="E16" s="289"/>
      <c r="F16" s="289"/>
      <c r="G16" s="289"/>
      <c r="H16" s="289"/>
    </row>
    <row r="17" spans="1:8" s="294" customFormat="1" x14ac:dyDescent="0.35">
      <c r="A17" s="286" t="s">
        <v>507</v>
      </c>
      <c r="B17" s="289">
        <f>'8.Cash Flow '!C21-'6.Cons Profit &amp; Loss'!B41</f>
        <v>182880</v>
      </c>
      <c r="C17" s="289">
        <f>B17-'6.Cons Profit &amp; Loss'!C41</f>
        <v>137160</v>
      </c>
      <c r="D17" s="289">
        <f>C17-'6.Cons Profit &amp; Loss'!D41</f>
        <v>91440</v>
      </c>
      <c r="E17" s="289">
        <f>D17-'6.Cons Profit &amp; Loss'!E41</f>
        <v>45720</v>
      </c>
      <c r="F17" s="289">
        <f>E17-'6.Cons Profit &amp; Loss'!F41</f>
        <v>0</v>
      </c>
      <c r="G17" s="289">
        <f>F17-'6.Cons Profit &amp; Loss'!G41</f>
        <v>0</v>
      </c>
      <c r="H17" s="289">
        <f>G17-'6.Cons Profit &amp; Loss'!H41</f>
        <v>0</v>
      </c>
    </row>
    <row r="18" spans="1:8" x14ac:dyDescent="0.35">
      <c r="A18" s="293"/>
      <c r="B18" s="292"/>
      <c r="C18" s="292"/>
      <c r="D18" s="292"/>
      <c r="E18" s="292"/>
      <c r="F18" s="292"/>
      <c r="G18" s="292"/>
      <c r="H18" s="292"/>
    </row>
    <row r="19" spans="1:8" x14ac:dyDescent="0.35">
      <c r="A19" s="295" t="s">
        <v>253</v>
      </c>
      <c r="B19" s="296">
        <f t="shared" ref="B19:H19" si="2">B10+B14+B16+B17</f>
        <v>26351798.878900573</v>
      </c>
      <c r="C19" s="296">
        <f t="shared" si="2"/>
        <v>28256489.928695284</v>
      </c>
      <c r="D19" s="296">
        <f t="shared" si="2"/>
        <v>30145749.465997949</v>
      </c>
      <c r="E19" s="296">
        <f t="shared" si="2"/>
        <v>33878851.655403696</v>
      </c>
      <c r="F19" s="296">
        <f t="shared" si="2"/>
        <v>39570566.025665343</v>
      </c>
      <c r="G19" s="296">
        <f t="shared" si="2"/>
        <v>46066836.554624856</v>
      </c>
      <c r="H19" s="296">
        <f t="shared" si="2"/>
        <v>53409215.445677489</v>
      </c>
    </row>
    <row r="20" spans="1:8" x14ac:dyDescent="0.35">
      <c r="A20" s="280"/>
      <c r="B20" s="297"/>
      <c r="C20" s="297"/>
      <c r="D20" s="297"/>
      <c r="E20" s="297"/>
      <c r="F20" s="297"/>
      <c r="G20" s="297"/>
      <c r="H20" s="297"/>
    </row>
    <row r="21" spans="1:8" x14ac:dyDescent="0.35">
      <c r="A21" s="284" t="s">
        <v>254</v>
      </c>
      <c r="B21" s="298"/>
      <c r="C21" s="298"/>
      <c r="D21" s="298"/>
      <c r="E21" s="298"/>
      <c r="F21" s="298"/>
      <c r="G21" s="298"/>
      <c r="H21" s="298"/>
    </row>
    <row r="22" spans="1:8" x14ac:dyDescent="0.35">
      <c r="A22" s="286" t="s">
        <v>255</v>
      </c>
      <c r="B22" s="298"/>
      <c r="C22" s="298"/>
      <c r="D22" s="298"/>
      <c r="E22" s="298"/>
      <c r="F22" s="298"/>
      <c r="G22" s="298"/>
      <c r="H22" s="298"/>
    </row>
    <row r="23" spans="1:8" x14ac:dyDescent="0.35">
      <c r="A23" s="291" t="s">
        <v>256</v>
      </c>
      <c r="B23" s="289">
        <f>'5.Closing Stock &amp; W Capital'!E50-'5.Closing Stock &amp; W Capital'!E51</f>
        <v>1363030.3025944261</v>
      </c>
      <c r="C23" s="289">
        <f>'5.Closing Stock &amp; W Capital'!F50-'5.Closing Stock &amp; W Capital'!F51</f>
        <v>2112069.4514860604</v>
      </c>
      <c r="D23" s="289">
        <f>'5.Closing Stock &amp; W Capital'!G50-'5.Closing Stock &amp; W Capital'!G51</f>
        <v>2419057.8786894903</v>
      </c>
      <c r="E23" s="289">
        <f>'5.Closing Stock &amp; W Capital'!H50-'5.Closing Stock &amp; W Capital'!H51</f>
        <v>2751464.9749845583</v>
      </c>
      <c r="F23" s="289">
        <f>'5.Closing Stock &amp; W Capital'!I50-'5.Closing Stock &amp; W Capital'!I51</f>
        <v>3111065.1362124011</v>
      </c>
      <c r="G23" s="289">
        <f>'5.Closing Stock &amp; W Capital'!J50-'5.Closing Stock &amp; W Capital'!J51</f>
        <v>3495340.8572385851</v>
      </c>
      <c r="H23" s="289">
        <f>'5.Closing Stock &amp; W Capital'!K50-'5.Closing Stock &amp; W Capital'!K51</f>
        <v>3910266.4875268564</v>
      </c>
    </row>
    <row r="24" spans="1:8" x14ac:dyDescent="0.35">
      <c r="A24" s="291" t="s">
        <v>257</v>
      </c>
      <c r="B24" s="297">
        <f>'5.Closing Stock &amp; W Capital'!E49</f>
        <v>5588985.0430233655</v>
      </c>
      <c r="C24" s="297">
        <f>'5.Closing Stock &amp; W Capital'!F49</f>
        <v>6566545.4628421143</v>
      </c>
      <c r="D24" s="297">
        <f>'5.Closing Stock &amp; W Capital'!G49</f>
        <v>7521032.0609901622</v>
      </c>
      <c r="E24" s="297">
        <f>'5.Closing Stock &amp; W Capital'!H49</f>
        <v>8554550.9552959055</v>
      </c>
      <c r="F24" s="297">
        <f>'5.Closing Stock &amp; W Capital'!I49</f>
        <v>9672619.1588797495</v>
      </c>
      <c r="G24" s="297">
        <f>'5.Closing Stock &amp; W Capital'!J49</f>
        <v>10881107.805433737</v>
      </c>
      <c r="H24" s="297">
        <f>'5.Closing Stock &amp; W Capital'!K49</f>
        <v>12186263.768745925</v>
      </c>
    </row>
    <row r="25" spans="1:8" s="283" customFormat="1" x14ac:dyDescent="0.35">
      <c r="A25" s="291" t="s">
        <v>258</v>
      </c>
      <c r="B25" s="289"/>
      <c r="C25" s="289"/>
      <c r="D25" s="289"/>
      <c r="E25" s="289"/>
      <c r="F25" s="289"/>
      <c r="G25" s="289"/>
      <c r="H25" s="289"/>
    </row>
    <row r="26" spans="1:8" s="283" customFormat="1" x14ac:dyDescent="0.35">
      <c r="A26" s="286" t="s">
        <v>259</v>
      </c>
      <c r="B26" s="296">
        <f t="shared" ref="B26:H26" si="3">SUM(B23:B25)</f>
        <v>6952015.3456177916</v>
      </c>
      <c r="C26" s="296">
        <f t="shared" si="3"/>
        <v>8678614.9143281747</v>
      </c>
      <c r="D26" s="296">
        <f t="shared" si="3"/>
        <v>9940089.9396796525</v>
      </c>
      <c r="E26" s="296">
        <f t="shared" si="3"/>
        <v>11306015.930280464</v>
      </c>
      <c r="F26" s="296">
        <f t="shared" si="3"/>
        <v>12783684.295092151</v>
      </c>
      <c r="G26" s="296">
        <f t="shared" si="3"/>
        <v>14376448.662672322</v>
      </c>
      <c r="H26" s="296">
        <f t="shared" si="3"/>
        <v>16096530.256272782</v>
      </c>
    </row>
    <row r="27" spans="1:8" s="283" customFormat="1" x14ac:dyDescent="0.35">
      <c r="A27" s="286" t="s">
        <v>260</v>
      </c>
      <c r="B27" s="296">
        <f>'4.TL repayment sch'!G21</f>
        <v>5402490.5823257565</v>
      </c>
      <c r="C27" s="296">
        <f>'4.TL repayment sch'!G33</f>
        <v>3401360.6273926655</v>
      </c>
      <c r="D27" s="296">
        <f>'4.TL repayment sch'!G45</f>
        <v>1190686.2165298648</v>
      </c>
      <c r="E27" s="296">
        <f>'4.TL repayment sch'!G57</f>
        <v>1.8353806459114978E-9</v>
      </c>
      <c r="F27" s="296">
        <f>'4.TL repayment sch'!G69</f>
        <v>2.0275689832672806E-9</v>
      </c>
      <c r="G27" s="296">
        <f>'4.TL repayment sch'!G81</f>
        <v>2.2398819509540297E-9</v>
      </c>
      <c r="H27" s="296">
        <f>'[1]Term Loan'!J72+'[1]Term Loan'!S72</f>
        <v>0</v>
      </c>
    </row>
    <row r="28" spans="1:8" s="283" customFormat="1" x14ac:dyDescent="0.35">
      <c r="A28" s="286" t="s">
        <v>261</v>
      </c>
      <c r="B28" s="296"/>
      <c r="C28" s="296"/>
      <c r="D28" s="296"/>
      <c r="E28" s="296"/>
      <c r="F28" s="296"/>
      <c r="G28" s="296"/>
      <c r="H28" s="296"/>
    </row>
    <row r="29" spans="1:8" s="283" customFormat="1" x14ac:dyDescent="0.35">
      <c r="A29" s="286"/>
      <c r="B29" s="299"/>
      <c r="C29" s="299"/>
      <c r="D29" s="299"/>
      <c r="E29" s="299"/>
      <c r="F29" s="299"/>
      <c r="G29" s="299"/>
      <c r="H29" s="299"/>
    </row>
    <row r="30" spans="1:8" x14ac:dyDescent="0.35">
      <c r="A30" s="295" t="s">
        <v>262</v>
      </c>
      <c r="B30" s="296">
        <f t="shared" ref="B30:H30" si="4">SUM(B26:B28)</f>
        <v>12354505.927943548</v>
      </c>
      <c r="C30" s="296">
        <f t="shared" si="4"/>
        <v>12079975.541720841</v>
      </c>
      <c r="D30" s="296">
        <f t="shared" si="4"/>
        <v>11130776.156209517</v>
      </c>
      <c r="E30" s="296">
        <f t="shared" si="4"/>
        <v>11306015.930280466</v>
      </c>
      <c r="F30" s="296">
        <f t="shared" si="4"/>
        <v>12783684.295092152</v>
      </c>
      <c r="G30" s="296">
        <f t="shared" si="4"/>
        <v>14376448.662672324</v>
      </c>
      <c r="H30" s="296">
        <f t="shared" si="4"/>
        <v>16096530.256272782</v>
      </c>
    </row>
    <row r="31" spans="1:8" x14ac:dyDescent="0.35">
      <c r="A31" s="280"/>
      <c r="B31" s="300"/>
      <c r="C31" s="300"/>
      <c r="D31" s="300"/>
      <c r="E31" s="300"/>
      <c r="F31" s="300"/>
      <c r="G31" s="300"/>
      <c r="H31" s="300"/>
    </row>
    <row r="32" spans="1:8" x14ac:dyDescent="0.35">
      <c r="A32" s="293" t="s">
        <v>263</v>
      </c>
      <c r="B32" s="292">
        <f>'1.Project Cost and MOF'!E22</f>
        <v>1450177.5841981424</v>
      </c>
      <c r="C32" s="292">
        <f>B32</f>
        <v>1450177.5841981424</v>
      </c>
      <c r="D32" s="292">
        <f t="shared" ref="D32:H33" si="5">C32</f>
        <v>1450177.5841981424</v>
      </c>
      <c r="E32" s="292">
        <f t="shared" si="5"/>
        <v>1450177.5841981424</v>
      </c>
      <c r="F32" s="292">
        <f t="shared" si="5"/>
        <v>1450177.5841981424</v>
      </c>
      <c r="G32" s="292">
        <f t="shared" si="5"/>
        <v>1450177.5841981424</v>
      </c>
      <c r="H32" s="292">
        <f t="shared" si="5"/>
        <v>1450177.5841981424</v>
      </c>
    </row>
    <row r="33" spans="1:8" x14ac:dyDescent="0.35">
      <c r="A33" s="293" t="s">
        <v>508</v>
      </c>
      <c r="B33" s="292">
        <f>'1.Project Cost and MOF'!E20</f>
        <v>10989889.799999999</v>
      </c>
      <c r="C33" s="292">
        <f>B33</f>
        <v>10989889.799999999</v>
      </c>
      <c r="D33" s="292">
        <f t="shared" si="5"/>
        <v>10989889.799999999</v>
      </c>
      <c r="E33" s="292">
        <f t="shared" si="5"/>
        <v>10989889.799999999</v>
      </c>
      <c r="F33" s="292">
        <f t="shared" si="5"/>
        <v>10989889.799999999</v>
      </c>
      <c r="G33" s="292">
        <f t="shared" si="5"/>
        <v>10989889.799999999</v>
      </c>
      <c r="H33" s="292">
        <f t="shared" si="5"/>
        <v>10989889.799999999</v>
      </c>
    </row>
    <row r="34" spans="1:8" x14ac:dyDescent="0.35">
      <c r="A34" s="286" t="s">
        <v>264</v>
      </c>
      <c r="B34" s="292"/>
      <c r="C34" s="292"/>
      <c r="D34" s="292"/>
      <c r="E34" s="292"/>
      <c r="F34" s="292"/>
      <c r="G34" s="292"/>
      <c r="H34" s="292"/>
    </row>
    <row r="35" spans="1:8" x14ac:dyDescent="0.35">
      <c r="A35" s="293" t="s">
        <v>265</v>
      </c>
      <c r="B35" s="292">
        <v>0</v>
      </c>
      <c r="C35" s="292">
        <f t="shared" ref="C35:H35" si="6">B38</f>
        <v>1557225.5667588792</v>
      </c>
      <c r="D35" s="292">
        <f t="shared" si="6"/>
        <v>3736447.0027763192</v>
      </c>
      <c r="E35" s="292">
        <f t="shared" si="6"/>
        <v>6574905.9255902916</v>
      </c>
      <c r="F35" s="292">
        <f t="shared" si="6"/>
        <v>10132768.340925092</v>
      </c>
      <c r="G35" s="292">
        <f t="shared" si="6"/>
        <v>14346814.346375048</v>
      </c>
      <c r="H35" s="292">
        <f t="shared" si="6"/>
        <v>19250320.507754397</v>
      </c>
    </row>
    <row r="36" spans="1:8" x14ac:dyDescent="0.35">
      <c r="A36" s="293" t="s">
        <v>266</v>
      </c>
      <c r="B36" s="292">
        <f>'6.Cons Profit &amp; Loss'!B51</f>
        <v>1557225.5667588792</v>
      </c>
      <c r="C36" s="292">
        <f>'6.Cons Profit &amp; Loss'!C49</f>
        <v>2179221.4360174397</v>
      </c>
      <c r="D36" s="292">
        <f>'6.Cons Profit &amp; Loss'!D49</f>
        <v>2838458.9228139725</v>
      </c>
      <c r="E36" s="292">
        <f>'6.Cons Profit &amp; Loss'!E49</f>
        <v>3557862.4153348003</v>
      </c>
      <c r="F36" s="292">
        <f>'6.Cons Profit &amp; Loss'!F49</f>
        <v>4214046.0054499572</v>
      </c>
      <c r="G36" s="292">
        <f>'6.Cons Profit &amp; Loss'!G49</f>
        <v>4903506.1613793485</v>
      </c>
      <c r="H36" s="292">
        <f>'6.Cons Profit &amp; Loss'!H49</f>
        <v>5622297.2974521946</v>
      </c>
    </row>
    <row r="37" spans="1:8" x14ac:dyDescent="0.35">
      <c r="A37" s="293" t="s">
        <v>267</v>
      </c>
      <c r="B37" s="292"/>
      <c r="C37" s="292"/>
      <c r="D37" s="292"/>
      <c r="E37" s="292"/>
      <c r="F37" s="292"/>
      <c r="G37" s="292"/>
      <c r="H37" s="292"/>
    </row>
    <row r="38" spans="1:8" x14ac:dyDescent="0.35">
      <c r="A38" s="293" t="s">
        <v>268</v>
      </c>
      <c r="B38" s="292">
        <f t="shared" ref="B38:H38" si="7">B35+B36-B37</f>
        <v>1557225.5667588792</v>
      </c>
      <c r="C38" s="292">
        <f t="shared" si="7"/>
        <v>3736447.0027763192</v>
      </c>
      <c r="D38" s="292">
        <f t="shared" si="7"/>
        <v>6574905.9255902916</v>
      </c>
      <c r="E38" s="292">
        <f t="shared" si="7"/>
        <v>10132768.340925092</v>
      </c>
      <c r="F38" s="292">
        <f t="shared" si="7"/>
        <v>14346814.346375048</v>
      </c>
      <c r="G38" s="292">
        <f t="shared" si="7"/>
        <v>19250320.507754397</v>
      </c>
      <c r="H38" s="292">
        <f t="shared" si="7"/>
        <v>24872617.805206589</v>
      </c>
    </row>
    <row r="39" spans="1:8" x14ac:dyDescent="0.35">
      <c r="A39" s="293"/>
      <c r="B39" s="298"/>
      <c r="C39" s="298"/>
      <c r="D39" s="298"/>
      <c r="E39" s="298"/>
      <c r="F39" s="298"/>
      <c r="G39" s="298"/>
      <c r="H39" s="298"/>
    </row>
    <row r="40" spans="1:8" x14ac:dyDescent="0.35">
      <c r="A40" s="301" t="s">
        <v>269</v>
      </c>
      <c r="B40" s="302">
        <f t="shared" ref="B40:H40" si="8">B32+B38+B33</f>
        <v>13997292.950957021</v>
      </c>
      <c r="C40" s="302">
        <f t="shared" si="8"/>
        <v>16176514.386974461</v>
      </c>
      <c r="D40" s="302">
        <f t="shared" si="8"/>
        <v>19014973.309788432</v>
      </c>
      <c r="E40" s="302">
        <f t="shared" si="8"/>
        <v>22572835.725123234</v>
      </c>
      <c r="F40" s="302">
        <f t="shared" si="8"/>
        <v>26786881.730573192</v>
      </c>
      <c r="G40" s="302">
        <f t="shared" si="8"/>
        <v>31690387.891952537</v>
      </c>
      <c r="H40" s="302">
        <f t="shared" si="8"/>
        <v>37312685.189404733</v>
      </c>
    </row>
    <row r="41" spans="1:8" x14ac:dyDescent="0.35">
      <c r="A41" s="280"/>
      <c r="B41" s="292"/>
      <c r="C41" s="292"/>
      <c r="D41" s="292"/>
      <c r="E41" s="292"/>
      <c r="F41" s="292"/>
      <c r="G41" s="292"/>
      <c r="H41" s="292"/>
    </row>
    <row r="42" spans="1:8" x14ac:dyDescent="0.35">
      <c r="A42" s="295" t="s">
        <v>270</v>
      </c>
      <c r="B42" s="296">
        <f t="shared" ref="B42:H42" si="9">B30+B40</f>
        <v>26351798.878900569</v>
      </c>
      <c r="C42" s="296">
        <f t="shared" si="9"/>
        <v>28256489.928695302</v>
      </c>
      <c r="D42" s="296">
        <f t="shared" si="9"/>
        <v>30145749.465997949</v>
      </c>
      <c r="E42" s="296">
        <f t="shared" si="9"/>
        <v>33878851.655403703</v>
      </c>
      <c r="F42" s="296">
        <f t="shared" si="9"/>
        <v>39570566.025665343</v>
      </c>
      <c r="G42" s="296">
        <f t="shared" si="9"/>
        <v>46066836.554624863</v>
      </c>
      <c r="H42" s="296">
        <f t="shared" si="9"/>
        <v>53409215.445677519</v>
      </c>
    </row>
    <row r="43" spans="1:8" x14ac:dyDescent="0.35">
      <c r="A43" s="280"/>
      <c r="B43" s="303"/>
      <c r="C43" s="303"/>
      <c r="D43" s="303"/>
      <c r="E43" s="303"/>
      <c r="F43" s="303"/>
      <c r="G43" s="303"/>
      <c r="H43" s="303"/>
    </row>
    <row r="44" spans="1:8" x14ac:dyDescent="0.35">
      <c r="A44" s="304" t="s">
        <v>271</v>
      </c>
      <c r="B44" s="305"/>
      <c r="C44" s="305"/>
      <c r="D44" s="305"/>
      <c r="E44" s="305"/>
      <c r="F44" s="305"/>
      <c r="G44" s="305"/>
      <c r="H44" s="305"/>
    </row>
    <row r="45" spans="1:8" x14ac:dyDescent="0.35">
      <c r="A45" s="306" t="s">
        <v>272</v>
      </c>
      <c r="B45" s="307">
        <f t="shared" ref="B45:H45" si="10">B42-B19</f>
        <v>0</v>
      </c>
      <c r="C45" s="307">
        <f t="shared" si="10"/>
        <v>0</v>
      </c>
      <c r="D45" s="307">
        <f t="shared" si="10"/>
        <v>0</v>
      </c>
      <c r="E45" s="307">
        <f t="shared" si="10"/>
        <v>0</v>
      </c>
      <c r="F45" s="307">
        <f t="shared" si="10"/>
        <v>0</v>
      </c>
      <c r="G45" s="307">
        <f t="shared" si="10"/>
        <v>0</v>
      </c>
      <c r="H45" s="307">
        <f t="shared" si="10"/>
        <v>0</v>
      </c>
    </row>
    <row r="46" spans="1:8" x14ac:dyDescent="0.35">
      <c r="A46" s="306"/>
      <c r="B46" s="307"/>
      <c r="C46" s="307"/>
      <c r="D46" s="307"/>
      <c r="E46" s="307"/>
      <c r="F46" s="307"/>
      <c r="G46" s="307"/>
      <c r="H46" s="307"/>
    </row>
    <row r="47" spans="1:8" ht="15" thickBot="1" x14ac:dyDescent="0.4">
      <c r="A47" s="308"/>
      <c r="B47" s="309"/>
      <c r="C47" s="309"/>
      <c r="D47" s="309"/>
      <c r="E47" s="309"/>
      <c r="F47" s="309"/>
      <c r="G47" s="309"/>
      <c r="H47" s="309"/>
    </row>
    <row r="48" spans="1:8" x14ac:dyDescent="0.35">
      <c r="B48" s="310"/>
      <c r="C48" s="310"/>
      <c r="D48" s="310"/>
      <c r="E48" s="310"/>
      <c r="F48" s="310"/>
      <c r="G48" s="310"/>
      <c r="H48" s="310"/>
    </row>
    <row r="49" spans="1:9" ht="39.65" customHeight="1" x14ac:dyDescent="0.35">
      <c r="A49" s="449" t="s">
        <v>404</v>
      </c>
      <c r="B49" s="450"/>
      <c r="C49" s="450"/>
      <c r="D49" s="450"/>
      <c r="E49" s="450"/>
      <c r="F49" s="450"/>
      <c r="G49" s="450"/>
      <c r="H49" s="450"/>
      <c r="I49" s="450"/>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3"/>
  <sheetViews>
    <sheetView view="pageBreakPreview" topLeftCell="A27" zoomScale="80" zoomScaleSheetLayoutView="80" workbookViewId="0">
      <selection activeCell="A4" sqref="A4:I35"/>
    </sheetView>
  </sheetViews>
  <sheetFormatPr defaultColWidth="8.7265625" defaultRowHeight="14.5" x14ac:dyDescent="0.35"/>
  <cols>
    <col min="1" max="1" width="3.54296875" style="107" bestFit="1" customWidth="1"/>
    <col min="2" max="2" width="35.7265625" style="107" bestFit="1" customWidth="1"/>
    <col min="3" max="3" width="16.81640625" style="107" customWidth="1"/>
    <col min="4" max="4" width="17.1796875" style="107" customWidth="1"/>
    <col min="5" max="5" width="17.26953125" style="107" customWidth="1"/>
    <col min="6" max="6" width="17.7265625" style="107" customWidth="1"/>
    <col min="7" max="7" width="18.81640625" style="107" customWidth="1"/>
    <col min="8" max="8" width="17.81640625" style="107" customWidth="1"/>
    <col min="9" max="9" width="18.26953125" style="107" customWidth="1"/>
    <col min="10" max="16384" width="8.7265625" style="107"/>
  </cols>
  <sheetData>
    <row r="1" spans="1:10" x14ac:dyDescent="0.35">
      <c r="A1" s="432"/>
      <c r="B1" s="432"/>
      <c r="C1" s="432"/>
      <c r="D1" s="432"/>
      <c r="E1" s="432"/>
      <c r="F1" s="432"/>
      <c r="G1" s="432"/>
    </row>
    <row r="2" spans="1:10" x14ac:dyDescent="0.35">
      <c r="A2" s="421" t="s">
        <v>699</v>
      </c>
      <c r="B2" s="421"/>
      <c r="C2" s="421"/>
      <c r="D2" s="421"/>
      <c r="E2" s="421"/>
      <c r="F2" s="421"/>
      <c r="G2" s="421"/>
      <c r="H2" s="421"/>
      <c r="I2" s="421"/>
      <c r="J2" s="261"/>
    </row>
    <row r="4" spans="1:10" x14ac:dyDescent="0.35">
      <c r="A4" s="262" t="s">
        <v>228</v>
      </c>
      <c r="B4" s="262" t="s">
        <v>0</v>
      </c>
      <c r="C4" s="122" t="s">
        <v>2</v>
      </c>
      <c r="D4" s="122" t="s">
        <v>3</v>
      </c>
      <c r="E4" s="122" t="s">
        <v>4</v>
      </c>
      <c r="F4" s="122" t="s">
        <v>5</v>
      </c>
      <c r="G4" s="122" t="s">
        <v>6</v>
      </c>
      <c r="H4" s="122" t="s">
        <v>165</v>
      </c>
      <c r="I4" s="122" t="s">
        <v>164</v>
      </c>
    </row>
    <row r="5" spans="1:10" x14ac:dyDescent="0.35">
      <c r="A5" s="263">
        <v>1</v>
      </c>
      <c r="B5" s="263" t="s">
        <v>7</v>
      </c>
      <c r="C5" s="264"/>
      <c r="D5" s="264"/>
      <c r="E5" s="264"/>
      <c r="F5" s="264"/>
      <c r="G5" s="264"/>
      <c r="H5" s="264"/>
      <c r="I5" s="264"/>
    </row>
    <row r="6" spans="1:10" x14ac:dyDescent="0.35">
      <c r="A6" s="263"/>
      <c r="B6" s="265" t="s">
        <v>358</v>
      </c>
      <c r="C6" s="264">
        <f>'6.Cons Profit &amp; Loss'!B13</f>
        <v>73372218.471037492</v>
      </c>
      <c r="D6" s="264">
        <f>'6.Cons Profit &amp; Loss'!C13</f>
        <v>86256870.371677712</v>
      </c>
      <c r="E6" s="264">
        <f>'6.Cons Profit &amp; Loss'!D13</f>
        <v>98792751.870644554</v>
      </c>
      <c r="F6" s="264">
        <f>'6.Cons Profit &amp; Loss'!E13</f>
        <v>112366579.34357895</v>
      </c>
      <c r="G6" s="264">
        <f>'6.Cons Profit &amp; Loss'!F13</f>
        <v>127050807.68413009</v>
      </c>
      <c r="H6" s="264">
        <f>'6.Cons Profit &amp; Loss'!G13</f>
        <v>142868938.58475247</v>
      </c>
      <c r="I6" s="264">
        <f>'6.Cons Profit &amp; Loss'!H13</f>
        <v>159951255.55622673</v>
      </c>
    </row>
    <row r="7" spans="1:10" x14ac:dyDescent="0.35">
      <c r="A7" s="263">
        <v>2</v>
      </c>
      <c r="B7" s="263" t="s">
        <v>229</v>
      </c>
      <c r="C7" s="264">
        <f>'1.Project Cost and MOF'!E22</f>
        <v>1450177.5841981424</v>
      </c>
      <c r="D7" s="264"/>
      <c r="E7" s="264"/>
      <c r="F7" s="264"/>
      <c r="G7" s="264"/>
      <c r="H7" s="264"/>
      <c r="I7" s="264"/>
    </row>
    <row r="8" spans="1:10" x14ac:dyDescent="0.35">
      <c r="A8" s="263"/>
      <c r="B8" s="263" t="s">
        <v>290</v>
      </c>
      <c r="C8" s="264"/>
      <c r="D8" s="264"/>
      <c r="E8" s="264"/>
      <c r="F8" s="264"/>
      <c r="G8" s="264"/>
      <c r="H8" s="264"/>
      <c r="I8" s="264"/>
    </row>
    <row r="9" spans="1:10" x14ac:dyDescent="0.35">
      <c r="A9" s="263">
        <v>3</v>
      </c>
      <c r="B9" s="263" t="str">
        <f>'7.Balance Sheet'!A33</f>
        <v>Smart Grant -in-Aid</v>
      </c>
      <c r="C9" s="264">
        <f>'1.Project Cost and MOF'!E20</f>
        <v>10989889.799999999</v>
      </c>
      <c r="D9" s="264"/>
      <c r="E9" s="264"/>
      <c r="F9" s="264"/>
      <c r="G9" s="264"/>
      <c r="H9" s="264"/>
      <c r="I9" s="264"/>
    </row>
    <row r="10" spans="1:10" x14ac:dyDescent="0.35">
      <c r="A10" s="263">
        <v>4</v>
      </c>
      <c r="B10" s="263" t="s">
        <v>230</v>
      </c>
      <c r="C10" s="264">
        <f>'1.Project Cost and MOF'!E21</f>
        <v>6330759.0499999998</v>
      </c>
      <c r="D10" s="264"/>
      <c r="E10" s="264"/>
      <c r="F10" s="264"/>
      <c r="G10" s="264"/>
      <c r="H10" s="264"/>
      <c r="I10" s="264"/>
    </row>
    <row r="11" spans="1:10" x14ac:dyDescent="0.35">
      <c r="A11" s="263">
        <v>5</v>
      </c>
      <c r="B11" s="263" t="s">
        <v>231</v>
      </c>
      <c r="C11" s="264">
        <f>'7.Balance Sheet'!B23</f>
        <v>1363030.3025944261</v>
      </c>
      <c r="D11" s="264">
        <f>'7.Balance Sheet'!C23-'7.Balance Sheet'!B23</f>
        <v>749039.14889163431</v>
      </c>
      <c r="E11" s="264">
        <f>'7.Balance Sheet'!D23-'7.Balance Sheet'!C23</f>
        <v>306988.42720342986</v>
      </c>
      <c r="F11" s="264">
        <f>'7.Balance Sheet'!E23-'7.Balance Sheet'!D23</f>
        <v>332407.09629506804</v>
      </c>
      <c r="G11" s="264">
        <f>'7.Balance Sheet'!F23-'7.Balance Sheet'!E23</f>
        <v>359600.16122784279</v>
      </c>
      <c r="H11" s="264">
        <f>'7.Balance Sheet'!G23-'7.Balance Sheet'!F23</f>
        <v>384275.72102618404</v>
      </c>
      <c r="I11" s="264">
        <f>'7.Balance Sheet'!H23-'7.Balance Sheet'!G23</f>
        <v>414925.63028827123</v>
      </c>
    </row>
    <row r="12" spans="1:10" x14ac:dyDescent="0.35">
      <c r="A12" s="263">
        <v>6</v>
      </c>
      <c r="B12" s="263" t="s">
        <v>733</v>
      </c>
      <c r="C12" s="264">
        <f>'7.Balance Sheet'!B24</f>
        <v>5588985.0430233655</v>
      </c>
      <c r="D12" s="264">
        <f>'7.Balance Sheet'!C24-'7.Balance Sheet'!B24</f>
        <v>977560.41981874872</v>
      </c>
      <c r="E12" s="264">
        <f>'7.Balance Sheet'!D24-'7.Balance Sheet'!C24</f>
        <v>954486.59814804792</v>
      </c>
      <c r="F12" s="264">
        <f>'7.Balance Sheet'!E24-'7.Balance Sheet'!D24</f>
        <v>1033518.8943057433</v>
      </c>
      <c r="G12" s="264">
        <f>'7.Balance Sheet'!F24-'7.Balance Sheet'!E24</f>
        <v>1118068.203583844</v>
      </c>
      <c r="H12" s="264">
        <f>'7.Balance Sheet'!G24-'7.Balance Sheet'!F24</f>
        <v>1208488.6465539876</v>
      </c>
      <c r="I12" s="264">
        <f>'7.Balance Sheet'!H24-'7.Balance Sheet'!G24</f>
        <v>1305155.9633121882</v>
      </c>
    </row>
    <row r="13" spans="1:10" x14ac:dyDescent="0.35">
      <c r="A13" s="263"/>
      <c r="B13" s="263" t="s">
        <v>232</v>
      </c>
      <c r="C13" s="266">
        <f>SUM(C6:C12)</f>
        <v>99095060.250853419</v>
      </c>
      <c r="D13" s="266">
        <f t="shared" ref="D13:I13" si="0">SUM(D6:D12)</f>
        <v>87983469.940388083</v>
      </c>
      <c r="E13" s="266">
        <f t="shared" si="0"/>
        <v>100054226.89599603</v>
      </c>
      <c r="F13" s="266">
        <f t="shared" si="0"/>
        <v>113732505.33417976</v>
      </c>
      <c r="G13" s="266">
        <f t="shared" si="0"/>
        <v>128528476.04894176</v>
      </c>
      <c r="H13" s="266">
        <f t="shared" si="0"/>
        <v>144461702.95233265</v>
      </c>
      <c r="I13" s="266">
        <f t="shared" si="0"/>
        <v>161671337.14982718</v>
      </c>
    </row>
    <row r="14" spans="1:10" x14ac:dyDescent="0.35">
      <c r="A14" s="451" t="s">
        <v>233</v>
      </c>
      <c r="B14" s="451"/>
      <c r="C14" s="267"/>
      <c r="D14" s="267"/>
      <c r="E14" s="267"/>
      <c r="F14" s="267"/>
      <c r="G14" s="267"/>
      <c r="H14" s="267"/>
      <c r="I14" s="267"/>
    </row>
    <row r="15" spans="1:10" x14ac:dyDescent="0.35">
      <c r="A15" s="263">
        <v>1</v>
      </c>
      <c r="B15" s="263" t="s">
        <v>234</v>
      </c>
      <c r="C15" s="267"/>
      <c r="D15" s="267"/>
      <c r="E15" s="267"/>
      <c r="F15" s="267"/>
      <c r="G15" s="267"/>
      <c r="H15" s="267"/>
      <c r="I15" s="267"/>
    </row>
    <row r="16" spans="1:10" x14ac:dyDescent="0.35">
      <c r="A16" s="268" t="s">
        <v>235</v>
      </c>
      <c r="B16" s="267" t="str">
        <f>'[1]Total Cost of Project'!C3</f>
        <v>Land and Building</v>
      </c>
      <c r="C16" s="269">
        <f>'1.Project Cost and MOF'!D6</f>
        <v>12863000</v>
      </c>
      <c r="D16" s="269"/>
      <c r="E16" s="269"/>
      <c r="F16" s="269"/>
      <c r="G16" s="269"/>
      <c r="H16" s="269"/>
      <c r="I16" s="269"/>
    </row>
    <row r="17" spans="1:9" x14ac:dyDescent="0.35">
      <c r="A17" s="268" t="s">
        <v>236</v>
      </c>
      <c r="B17" s="270" t="str">
        <f>'[1]Total Cost of Project'!C4</f>
        <v>Machinery and Equipment</v>
      </c>
      <c r="C17" s="269">
        <f>'1.Project Cost and MOF'!D7</f>
        <v>3778250</v>
      </c>
      <c r="D17" s="269"/>
      <c r="E17" s="269"/>
      <c r="F17" s="269"/>
      <c r="G17" s="269"/>
      <c r="H17" s="269"/>
      <c r="I17" s="269"/>
    </row>
    <row r="18" spans="1:9" x14ac:dyDescent="0.35">
      <c r="A18" s="268" t="s">
        <v>273</v>
      </c>
      <c r="B18" s="270" t="s">
        <v>327</v>
      </c>
      <c r="C18" s="269">
        <f>'1.Project Cost and MOF'!D8</f>
        <v>751422</v>
      </c>
      <c r="D18" s="269"/>
      <c r="E18" s="269"/>
      <c r="F18" s="269"/>
      <c r="G18" s="269"/>
      <c r="H18" s="269"/>
      <c r="I18" s="269"/>
    </row>
    <row r="19" spans="1:9" x14ac:dyDescent="0.35">
      <c r="A19" s="268" t="s">
        <v>275</v>
      </c>
      <c r="B19" s="270" t="s">
        <v>329</v>
      </c>
      <c r="C19" s="269">
        <f>'1.Project Cost and MOF'!D9</f>
        <v>695211</v>
      </c>
      <c r="D19" s="269"/>
      <c r="E19" s="269"/>
      <c r="F19" s="269"/>
      <c r="G19" s="269"/>
      <c r="H19" s="269"/>
      <c r="I19" s="269"/>
    </row>
    <row r="20" spans="1:9" x14ac:dyDescent="0.35">
      <c r="A20" s="268" t="s">
        <v>330</v>
      </c>
      <c r="B20" s="270" t="s">
        <v>274</v>
      </c>
      <c r="C20" s="269">
        <f>'1.Project Cost and MOF'!D10</f>
        <v>0</v>
      </c>
      <c r="D20" s="264"/>
      <c r="E20" s="264"/>
      <c r="F20" s="264"/>
      <c r="G20" s="264"/>
      <c r="H20" s="264"/>
      <c r="I20" s="264"/>
    </row>
    <row r="21" spans="1:9" x14ac:dyDescent="0.35">
      <c r="A21" s="268" t="s">
        <v>331</v>
      </c>
      <c r="B21" s="270" t="s">
        <v>276</v>
      </c>
      <c r="C21" s="269">
        <f>'1.Project Cost and MOF'!D11</f>
        <v>228600</v>
      </c>
      <c r="D21" s="264"/>
      <c r="E21" s="264"/>
      <c r="F21" s="264"/>
      <c r="G21" s="264"/>
      <c r="H21" s="264"/>
      <c r="I21" s="264"/>
    </row>
    <row r="22" spans="1:9" x14ac:dyDescent="0.35">
      <c r="A22" s="263">
        <v>2</v>
      </c>
      <c r="B22" s="263" t="s">
        <v>237</v>
      </c>
      <c r="C22" s="267"/>
      <c r="D22" s="267"/>
      <c r="E22" s="267"/>
      <c r="F22" s="267"/>
      <c r="G22" s="267"/>
      <c r="H22" s="267"/>
      <c r="I22" s="267"/>
    </row>
    <row r="23" spans="1:9" x14ac:dyDescent="0.35">
      <c r="A23" s="268" t="s">
        <v>235</v>
      </c>
      <c r="B23" s="267" t="s">
        <v>310</v>
      </c>
      <c r="C23" s="271">
        <f>'6.Cons Profit &amp; Loss'!B23</f>
        <v>67999318.023450956</v>
      </c>
      <c r="D23" s="271">
        <f>'6.Cons Profit &amp; Loss'!C23</f>
        <v>79892969.797912389</v>
      </c>
      <c r="E23" s="271">
        <f>'6.Cons Profit &amp; Loss'!D23</f>
        <v>91505890.075380296</v>
      </c>
      <c r="F23" s="271">
        <f>'6.Cons Profit &amp; Loss'!E23</f>
        <v>104080369.95610018</v>
      </c>
      <c r="G23" s="271">
        <f>'6.Cons Profit &amp; Loss'!F23</f>
        <v>117683533.09970362</v>
      </c>
      <c r="H23" s="271">
        <f>'6.Cons Profit &amp; Loss'!G23</f>
        <v>132386811.63277714</v>
      </c>
      <c r="I23" s="271">
        <f>'6.Cons Profit &amp; Loss'!H23</f>
        <v>148266209.18640876</v>
      </c>
    </row>
    <row r="24" spans="1:9" x14ac:dyDescent="0.35">
      <c r="A24" s="268" t="s">
        <v>236</v>
      </c>
      <c r="B24" s="267" t="s">
        <v>308</v>
      </c>
      <c r="C24" s="264">
        <f>'6.Cons Profit &amp; Loss'!B34</f>
        <v>2150800</v>
      </c>
      <c r="D24" s="264">
        <f>'6.Cons Profit &amp; Loss'!C34</f>
        <v>2258340</v>
      </c>
      <c r="E24" s="264">
        <f>'6.Cons Profit &amp; Loss'!D34</f>
        <v>2371257</v>
      </c>
      <c r="F24" s="264">
        <f>'6.Cons Profit &amp; Loss'!E34</f>
        <v>2489819.8500000006</v>
      </c>
      <c r="G24" s="264">
        <f>'6.Cons Profit &amp; Loss'!F34</f>
        <v>2614310.8425000007</v>
      </c>
      <c r="H24" s="264">
        <f>'6.Cons Profit &amp; Loss'!G34</f>
        <v>2745026.3846250009</v>
      </c>
      <c r="I24" s="264">
        <f>'6.Cons Profit &amp; Loss'!H34</f>
        <v>2882277.7038562512</v>
      </c>
    </row>
    <row r="25" spans="1:9" x14ac:dyDescent="0.35">
      <c r="A25" s="272">
        <v>3</v>
      </c>
      <c r="B25" s="263" t="s">
        <v>506</v>
      </c>
      <c r="C25" s="264"/>
      <c r="D25" s="264"/>
      <c r="E25" s="264"/>
      <c r="F25" s="264"/>
      <c r="G25" s="264"/>
      <c r="H25" s="264"/>
      <c r="I25" s="264"/>
    </row>
    <row r="26" spans="1:9" x14ac:dyDescent="0.35">
      <c r="A26" s="268"/>
      <c r="B26" s="267" t="s">
        <v>238</v>
      </c>
      <c r="C26" s="264">
        <f>SUM('4.TL repayment sch'!E10:E21)</f>
        <v>928268.46767424326</v>
      </c>
      <c r="D26" s="264">
        <f>SUM('4.TL repayment sch'!E22:E33)</f>
        <v>2001129.9549330918</v>
      </c>
      <c r="E26" s="264">
        <f>SUM('4.TL repayment sch'!E34:E45)</f>
        <v>2210674.4108628007</v>
      </c>
      <c r="F26" s="264">
        <f>SUM('4.TL repayment sch'!E46:E57)</f>
        <v>1190686.216529863</v>
      </c>
      <c r="G26" s="264">
        <f>SUM('4.TL repayment sch'!E58:E69)</f>
        <v>-1.9218833735578238E-10</v>
      </c>
      <c r="H26" s="264">
        <f>SUM('4.TL repayment sch'!E70:E81)</f>
        <v>-2.1231296768674918E-10</v>
      </c>
      <c r="I26" s="264">
        <f>SUM('4.TL repayment sch'!E82:E93)</f>
        <v>-2.3454490979079372E-10</v>
      </c>
    </row>
    <row r="27" spans="1:9" x14ac:dyDescent="0.35">
      <c r="A27" s="268"/>
      <c r="B27" s="267" t="s">
        <v>239</v>
      </c>
      <c r="C27" s="264">
        <f>SUM('4.TL repayment sch'!D10:D21)</f>
        <v>613924.2088983414</v>
      </c>
      <c r="D27" s="264">
        <f>SUM('4.TL repayment sch'!D22:D33)</f>
        <v>450179.49321207713</v>
      </c>
      <c r="E27" s="264">
        <f>SUM('4.TL repayment sch'!D34:D45)</f>
        <v>240635.03728236828</v>
      </c>
      <c r="F27" s="264">
        <f>SUM('4.TL repayment sch'!D46:D57)</f>
        <v>34968.507542721512</v>
      </c>
      <c r="G27" s="264">
        <f>SUM('4.TL repayment sch'!D58:D69)</f>
        <v>1.9218833735578238E-10</v>
      </c>
      <c r="H27" s="264">
        <f>SUM('4.TL repayment sch'!D70:D81)</f>
        <v>2.1231296768674918E-10</v>
      </c>
      <c r="I27" s="264">
        <f>SUM('4.TL repayment sch'!D82:D93)</f>
        <v>2.3454490979079372E-10</v>
      </c>
    </row>
    <row r="28" spans="1:9" x14ac:dyDescent="0.35">
      <c r="A28" s="268"/>
      <c r="B28" s="267" t="s">
        <v>240</v>
      </c>
      <c r="C28" s="264"/>
      <c r="D28" s="264"/>
      <c r="E28" s="264"/>
      <c r="F28" s="264"/>
      <c r="G28" s="264"/>
      <c r="H28" s="264"/>
      <c r="I28" s="264"/>
    </row>
    <row r="29" spans="1:9" x14ac:dyDescent="0.35">
      <c r="A29" s="268"/>
      <c r="B29" s="267" t="s">
        <v>241</v>
      </c>
      <c r="C29" s="273">
        <f>'7.Balance Sheet'!B23*12%</f>
        <v>163563.63631133112</v>
      </c>
      <c r="D29" s="273">
        <f>'7.Balance Sheet'!C23*12%</f>
        <v>253448.33417832723</v>
      </c>
      <c r="E29" s="273">
        <f>'7.Balance Sheet'!D23*12%</f>
        <v>290286.94544273883</v>
      </c>
      <c r="F29" s="273">
        <f>'7.Balance Sheet'!E23*12%</f>
        <v>330175.79699814698</v>
      </c>
      <c r="G29" s="273">
        <f>'7.Balance Sheet'!F23*12%</f>
        <v>373327.81634548813</v>
      </c>
      <c r="H29" s="273">
        <f>'7.Balance Sheet'!G23*12%</f>
        <v>419440.90286863019</v>
      </c>
      <c r="I29" s="273">
        <f>'7.Balance Sheet'!H23*12%</f>
        <v>469231.97850322275</v>
      </c>
    </row>
    <row r="30" spans="1:9" x14ac:dyDescent="0.35">
      <c r="A30" s="263">
        <v>4</v>
      </c>
      <c r="B30" s="263" t="s">
        <v>242</v>
      </c>
      <c r="C30" s="264">
        <f>'6.Cons Profit &amp; Loss'!B48</f>
        <v>50083.410617984569</v>
      </c>
      <c r="D30" s="264">
        <f>'6.Cons Profit &amp; Loss'!C48</f>
        <v>385407.68535747868</v>
      </c>
      <c r="E30" s="264">
        <f>'6.Cons Profit &amp; Loss'!D48</f>
        <v>708920.26472517953</v>
      </c>
      <c r="F30" s="264">
        <f>'6.Cons Profit &amp; Loss'!E48</f>
        <v>1036079.1926031056</v>
      </c>
      <c r="G30" s="264">
        <f>'6.Cons Profit &amp; Loss'!F48</f>
        <v>1328286.2951310154</v>
      </c>
      <c r="H30" s="264">
        <f>'6.Cons Profit &amp; Loss'!G48</f>
        <v>1622569.8781023494</v>
      </c>
      <c r="I30" s="264">
        <f>'6.Cons Profit &amp; Loss'!H48</f>
        <v>1919655.7650062954</v>
      </c>
    </row>
    <row r="31" spans="1:9" x14ac:dyDescent="0.35">
      <c r="A31" s="263">
        <v>5</v>
      </c>
      <c r="B31" s="263" t="s">
        <v>734</v>
      </c>
      <c r="C31" s="264">
        <f>'7.Balance Sheet'!B8</f>
        <v>6030593.2989893835</v>
      </c>
      <c r="D31" s="264">
        <f>'7.Balance Sheet'!C8-'7.Balance Sheet'!B8</f>
        <v>1059012.4849841259</v>
      </c>
      <c r="E31" s="264">
        <f>'7.Balance Sheet'!D8-'7.Balance Sheet'!C8</f>
        <v>1030346.4245726177</v>
      </c>
      <c r="F31" s="264">
        <f>'7.Balance Sheet'!E8-'7.Balance Sheet'!D8</f>
        <v>1115657.0525699509</v>
      </c>
      <c r="G31" s="264">
        <f>'7.Balance Sheet'!F8-'7.Balance Sheet'!E8</f>
        <v>1206922.8773055747</v>
      </c>
      <c r="H31" s="264">
        <f>'7.Balance Sheet'!G8-'7.Balance Sheet'!F8</f>
        <v>1300120.3479963578</v>
      </c>
      <c r="I31" s="264">
        <f>'7.Balance Sheet'!H8-'7.Balance Sheet'!G8</f>
        <v>1404026.0524499416</v>
      </c>
    </row>
    <row r="32" spans="1:9" x14ac:dyDescent="0.35">
      <c r="A32" s="263"/>
      <c r="B32" s="263" t="s">
        <v>243</v>
      </c>
      <c r="C32" s="274">
        <f>SUM(C16:C31)</f>
        <v>96253034.045942232</v>
      </c>
      <c r="D32" s="274">
        <f t="shared" ref="D32:I32" si="1">SUM(D16:D31)</f>
        <v>86300487.750577495</v>
      </c>
      <c r="E32" s="274">
        <f t="shared" si="1"/>
        <v>98358010.158265993</v>
      </c>
      <c r="F32" s="274">
        <f t="shared" si="1"/>
        <v>110277756.57234396</v>
      </c>
      <c r="G32" s="274">
        <f t="shared" si="1"/>
        <v>123206380.93098569</v>
      </c>
      <c r="H32" s="274">
        <f t="shared" si="1"/>
        <v>138473969.14636949</v>
      </c>
      <c r="I32" s="274">
        <f t="shared" si="1"/>
        <v>154941400.68622449</v>
      </c>
    </row>
    <row r="33" spans="1:10" x14ac:dyDescent="0.35">
      <c r="A33" s="263"/>
      <c r="B33" s="263" t="s">
        <v>244</v>
      </c>
      <c r="C33" s="274">
        <f t="shared" ref="C33:I33" si="2">C13-C32</f>
        <v>2842026.2049111873</v>
      </c>
      <c r="D33" s="274">
        <f t="shared" si="2"/>
        <v>1682982.189810589</v>
      </c>
      <c r="E33" s="274">
        <f t="shared" si="2"/>
        <v>1696216.7377300411</v>
      </c>
      <c r="F33" s="274">
        <f t="shared" si="2"/>
        <v>3454748.7618357986</v>
      </c>
      <c r="G33" s="274">
        <f t="shared" si="2"/>
        <v>5322095.1179560721</v>
      </c>
      <c r="H33" s="274">
        <f t="shared" si="2"/>
        <v>5987733.8059631586</v>
      </c>
      <c r="I33" s="274">
        <f t="shared" si="2"/>
        <v>6729936.4636026919</v>
      </c>
    </row>
    <row r="34" spans="1:10" x14ac:dyDescent="0.35">
      <c r="A34" s="272"/>
      <c r="B34" s="267" t="s">
        <v>245</v>
      </c>
      <c r="C34" s="267"/>
      <c r="D34" s="275">
        <f t="shared" ref="D34:I34" si="3">C35</f>
        <v>2842026.2049111873</v>
      </c>
      <c r="E34" s="275">
        <f t="shared" si="3"/>
        <v>4525008.3947217762</v>
      </c>
      <c r="F34" s="275">
        <f t="shared" si="3"/>
        <v>6221225.1324518174</v>
      </c>
      <c r="G34" s="275">
        <f t="shared" si="3"/>
        <v>9675973.894287616</v>
      </c>
      <c r="H34" s="275">
        <f t="shared" si="3"/>
        <v>14998069.012243688</v>
      </c>
      <c r="I34" s="275">
        <f t="shared" si="3"/>
        <v>20985802.818206847</v>
      </c>
    </row>
    <row r="35" spans="1:10" x14ac:dyDescent="0.35">
      <c r="A35" s="263"/>
      <c r="B35" s="276" t="s">
        <v>246</v>
      </c>
      <c r="C35" s="274">
        <f>C33+C34</f>
        <v>2842026.2049111873</v>
      </c>
      <c r="D35" s="274">
        <f t="shared" ref="D35:I35" si="4">D33+D34</f>
        <v>4525008.3947217762</v>
      </c>
      <c r="E35" s="274">
        <f t="shared" si="4"/>
        <v>6221225.1324518174</v>
      </c>
      <c r="F35" s="274">
        <f t="shared" si="4"/>
        <v>9675973.894287616</v>
      </c>
      <c r="G35" s="274">
        <f t="shared" si="4"/>
        <v>14998069.012243688</v>
      </c>
      <c r="H35" s="274">
        <f t="shared" si="4"/>
        <v>20985802.818206847</v>
      </c>
      <c r="I35" s="274">
        <f t="shared" si="4"/>
        <v>27715739.281809539</v>
      </c>
    </row>
    <row r="37" spans="1:10" ht="40" customHeight="1" x14ac:dyDescent="0.35">
      <c r="A37" s="452" t="s">
        <v>405</v>
      </c>
      <c r="B37" s="452"/>
      <c r="C37" s="452"/>
      <c r="D37" s="452"/>
      <c r="E37" s="452"/>
      <c r="F37" s="452"/>
      <c r="G37" s="452"/>
      <c r="H37" s="452"/>
      <c r="I37" s="452"/>
      <c r="J37" s="452"/>
    </row>
    <row r="39" spans="1:10" x14ac:dyDescent="0.35">
      <c r="C39" s="239"/>
    </row>
    <row r="40" spans="1:10" x14ac:dyDescent="0.35">
      <c r="C40" s="239"/>
    </row>
    <row r="41" spans="1:10" x14ac:dyDescent="0.35">
      <c r="C41" s="239"/>
    </row>
    <row r="42" spans="1:10" x14ac:dyDescent="0.35">
      <c r="C42" s="239"/>
    </row>
    <row r="43" spans="1:10" x14ac:dyDescent="0.35">
      <c r="C43" s="239"/>
    </row>
  </sheetData>
  <mergeCells count="4">
    <mergeCell ref="A1:G1"/>
    <mergeCell ref="A14:B14"/>
    <mergeCell ref="A2:I2"/>
    <mergeCell ref="A37:J37"/>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2022-06-13T10:41:22Z</dcterms:modified>
</cp:coreProperties>
</file>